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Transmission Rates AEP West SPP OpCos and Transcos\True Ups\2021 Annual Update\Filed Documents 5-24-21\"/>
    </mc:Choice>
  </mc:AlternateContent>
  <bookViews>
    <workbookView xWindow="15000" yWindow="20" windowWidth="13320" windowHeight="13170" activeTab="1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1">Summary!$C$1:$K$39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62913"/>
  <pivotCaches>
    <pivotCache cacheId="224" r:id="rId5"/>
  </pivotCaches>
</workbook>
</file>

<file path=xl/calcChain.xml><?xml version="1.0" encoding="utf-8"?>
<calcChain xmlns="http://schemas.openxmlformats.org/spreadsheetml/2006/main">
  <c r="F10" i="29" l="1"/>
  <c r="C5" i="29"/>
  <c r="E20" i="29" l="1"/>
  <c r="D20" i="29"/>
  <c r="L3" i="18" l="1"/>
  <c r="H211" i="18"/>
  <c r="H21" i="18" l="1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H209" i="18"/>
  <c r="H28" i="18"/>
  <c r="H36" i="18"/>
  <c r="H44" i="18"/>
  <c r="H52" i="18"/>
  <c r="H56" i="18"/>
  <c r="H60" i="18"/>
  <c r="H64" i="18"/>
  <c r="H72" i="18"/>
  <c r="H76" i="18"/>
  <c r="H92" i="18"/>
  <c r="H96" i="18"/>
  <c r="H108" i="18"/>
  <c r="H116" i="18"/>
  <c r="H124" i="18"/>
  <c r="H128" i="18"/>
  <c r="H136" i="18"/>
  <c r="H156" i="18"/>
  <c r="H160" i="18"/>
  <c r="H168" i="18"/>
  <c r="H180" i="18"/>
  <c r="H184" i="18"/>
  <c r="H192" i="18"/>
  <c r="H196" i="18"/>
  <c r="H200" i="18"/>
  <c r="H208" i="18"/>
  <c r="H22" i="18"/>
  <c r="H26" i="18"/>
  <c r="H30" i="18"/>
  <c r="H34" i="18"/>
  <c r="H38" i="18"/>
  <c r="H42" i="18"/>
  <c r="H46" i="18"/>
  <c r="H50" i="18"/>
  <c r="H54" i="18"/>
  <c r="H58" i="18"/>
  <c r="H62" i="18"/>
  <c r="H66" i="18"/>
  <c r="H70" i="18"/>
  <c r="H74" i="18"/>
  <c r="H78" i="18"/>
  <c r="H82" i="18"/>
  <c r="H86" i="18"/>
  <c r="H90" i="18"/>
  <c r="H94" i="18"/>
  <c r="H98" i="18"/>
  <c r="H102" i="18"/>
  <c r="H106" i="18"/>
  <c r="H110" i="18"/>
  <c r="H114" i="18"/>
  <c r="H118" i="18"/>
  <c r="H122" i="18"/>
  <c r="H126" i="18"/>
  <c r="H130" i="18"/>
  <c r="H134" i="18"/>
  <c r="H138" i="18"/>
  <c r="H142" i="18"/>
  <c r="H146" i="18"/>
  <c r="H150" i="18"/>
  <c r="H154" i="18"/>
  <c r="H158" i="18"/>
  <c r="H162" i="18"/>
  <c r="H166" i="18"/>
  <c r="H170" i="18"/>
  <c r="H174" i="18"/>
  <c r="H178" i="18"/>
  <c r="H182" i="18"/>
  <c r="H186" i="18"/>
  <c r="H190" i="18"/>
  <c r="H194" i="18"/>
  <c r="H198" i="18"/>
  <c r="H202" i="18"/>
  <c r="H206" i="18"/>
  <c r="H210" i="18"/>
  <c r="H20" i="18"/>
  <c r="H24" i="18"/>
  <c r="H32" i="18"/>
  <c r="H40" i="18"/>
  <c r="H48" i="18"/>
  <c r="H68" i="18"/>
  <c r="H80" i="18"/>
  <c r="H84" i="18"/>
  <c r="H88" i="18"/>
  <c r="H100" i="18"/>
  <c r="H104" i="18"/>
  <c r="H112" i="18"/>
  <c r="H120" i="18"/>
  <c r="H132" i="18"/>
  <c r="H140" i="18"/>
  <c r="H144" i="18"/>
  <c r="H148" i="18"/>
  <c r="H152" i="18"/>
  <c r="H164" i="18"/>
  <c r="H172" i="18"/>
  <c r="H176" i="18"/>
  <c r="H188" i="18"/>
  <c r="H204" i="18"/>
  <c r="H23" i="18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J38" i="29" l="1"/>
  <c r="E11" i="29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F8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66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C53" i="18"/>
  <c r="D63" i="18"/>
  <c r="D87" i="18" s="1"/>
  <c r="D99" i="18" s="1"/>
  <c r="D111" i="18" s="1"/>
  <c r="D123" i="18" s="1"/>
  <c r="D135" i="18" s="1"/>
  <c r="D147" i="18" s="1"/>
  <c r="D159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C54" i="18"/>
  <c r="C49" i="18"/>
  <c r="C61" i="18"/>
  <c r="C85" i="18" s="1"/>
  <c r="C97" i="18" s="1"/>
  <c r="C109" i="18" s="1"/>
  <c r="C121" i="18" s="1"/>
  <c r="C133" i="18" s="1"/>
  <c r="C145" i="18" s="1"/>
  <c r="C157" i="18" s="1"/>
  <c r="C181" i="18" s="1"/>
  <c r="C193" i="18" s="1"/>
  <c r="C205" i="18" s="1"/>
  <c r="D53" i="18"/>
  <c r="C64" i="18"/>
  <c r="C76" i="18" s="1"/>
  <c r="D55" i="18"/>
  <c r="C51" i="18"/>
  <c r="C63" i="18"/>
  <c r="C87" i="18" s="1"/>
  <c r="C99" i="18" s="1"/>
  <c r="C111" i="18" s="1"/>
  <c r="C123" i="18" s="1"/>
  <c r="C135" i="18" s="1"/>
  <c r="C147" i="18" s="1"/>
  <c r="C159" i="18" s="1"/>
  <c r="D79" i="18"/>
  <c r="C44" i="18"/>
  <c r="C56" i="18"/>
  <c r="C80" i="18" s="1"/>
  <c r="C92" i="18" s="1"/>
  <c r="C104" i="18" s="1"/>
  <c r="C116" i="18" s="1"/>
  <c r="C128" i="18" s="1"/>
  <c r="C140" i="18" s="1"/>
  <c r="C152" i="18" s="1"/>
  <c r="D66" i="18"/>
  <c r="D78" i="18" s="1"/>
  <c r="C3" i="29"/>
  <c r="C73" i="18"/>
  <c r="D50" i="18"/>
  <c r="C57" i="18"/>
  <c r="C81" i="18" s="1"/>
  <c r="C93" i="18" s="1"/>
  <c r="C105" i="18" s="1"/>
  <c r="C117" i="18" s="1"/>
  <c r="C129" i="18" s="1"/>
  <c r="C141" i="18" s="1"/>
  <c r="C153" i="18" s="1"/>
  <c r="C88" i="18"/>
  <c r="C100" i="18" s="1"/>
  <c r="C112" i="18" s="1"/>
  <c r="C124" i="18" s="1"/>
  <c r="C136" i="18" s="1"/>
  <c r="C148" i="18" s="1"/>
  <c r="C160" i="18" s="1"/>
  <c r="C75" i="18"/>
  <c r="K149" i="18"/>
  <c r="K103" i="18"/>
  <c r="K161" i="18"/>
  <c r="K175" i="18"/>
  <c r="K150" i="18"/>
  <c r="K174" i="18"/>
  <c r="K151" i="18"/>
  <c r="K75" i="18"/>
  <c r="K173" i="18"/>
  <c r="K40" i="18"/>
  <c r="K39" i="18"/>
  <c r="K64" i="18"/>
  <c r="K195" i="18"/>
  <c r="K162" i="18"/>
  <c r="K77" i="18"/>
  <c r="K79" i="18"/>
  <c r="K55" i="18"/>
  <c r="K199" i="18"/>
  <c r="K78" i="18"/>
  <c r="H25" i="29"/>
  <c r="G32" i="29"/>
  <c r="H31" i="29"/>
  <c r="G26" i="29"/>
  <c r="H22" i="29"/>
  <c r="E23" i="29"/>
  <c r="G28" i="29"/>
  <c r="H37" i="29"/>
  <c r="D23" i="29"/>
  <c r="G27" i="29"/>
  <c r="E35" i="29"/>
  <c r="D28" i="29"/>
  <c r="D21" i="29"/>
  <c r="E30" i="29"/>
  <c r="H29" i="29"/>
  <c r="G22" i="29"/>
  <c r="G33" i="29"/>
  <c r="D32" i="29"/>
  <c r="G23" i="29"/>
  <c r="H32" i="29"/>
  <c r="E25" i="29"/>
  <c r="D33" i="29"/>
  <c r="D29" i="29"/>
  <c r="G29" i="29"/>
  <c r="D37" i="29"/>
  <c r="E26" i="29"/>
  <c r="D30" i="29"/>
  <c r="E29" i="29"/>
  <c r="D24" i="29"/>
  <c r="D27" i="29"/>
  <c r="D22" i="29"/>
  <c r="E27" i="29"/>
  <c r="H21" i="29"/>
  <c r="E37" i="29"/>
  <c r="G37" i="29"/>
  <c r="E21" i="29"/>
  <c r="G21" i="29"/>
  <c r="D31" i="29"/>
  <c r="G36" i="29"/>
  <c r="H26" i="29"/>
  <c r="H36" i="29"/>
  <c r="E22" i="29"/>
  <c r="H23" i="29"/>
  <c r="E36" i="29"/>
  <c r="D35" i="29"/>
  <c r="G24" i="29"/>
  <c r="D36" i="29"/>
  <c r="G25" i="29"/>
  <c r="H33" i="29"/>
  <c r="D25" i="29"/>
  <c r="H28" i="29"/>
  <c r="G35" i="29"/>
  <c r="H27" i="29"/>
  <c r="D26" i="29"/>
  <c r="E33" i="29"/>
  <c r="G31" i="29"/>
  <c r="E32" i="29"/>
  <c r="E31" i="29"/>
  <c r="H24" i="29"/>
  <c r="E24" i="29"/>
  <c r="E28" i="29"/>
  <c r="H30" i="29"/>
  <c r="G30" i="29"/>
  <c r="H35" i="29"/>
  <c r="E10" i="29" l="1"/>
  <c r="C78" i="18"/>
  <c r="C90" i="18"/>
  <c r="C102" i="18" s="1"/>
  <c r="C114" i="18" s="1"/>
  <c r="C126" i="18" s="1"/>
  <c r="C138" i="18" s="1"/>
  <c r="C150" i="18" s="1"/>
  <c r="C162" i="18" s="1"/>
  <c r="C72" i="18"/>
  <c r="D46" i="18"/>
  <c r="D57" i="18"/>
  <c r="C68" i="18"/>
  <c r="O13" i="18"/>
  <c r="K53" i="18"/>
  <c r="K184" i="18"/>
  <c r="K67" i="18"/>
  <c r="K66" i="18"/>
  <c r="K54" i="18"/>
  <c r="K76" i="18"/>
  <c r="K148" i="18"/>
  <c r="K30" i="18"/>
  <c r="K43" i="18"/>
  <c r="K159" i="18"/>
  <c r="K135" i="18"/>
  <c r="K172" i="18"/>
  <c r="K198" i="18"/>
  <c r="K91" i="18"/>
  <c r="K41" i="18"/>
  <c r="K87" i="18"/>
  <c r="K136" i="18"/>
  <c r="K209" i="18"/>
  <c r="K138" i="18"/>
  <c r="K185" i="18"/>
  <c r="K124" i="18"/>
  <c r="K63" i="18"/>
  <c r="K137" i="18"/>
  <c r="K31" i="18"/>
  <c r="K171" i="18"/>
  <c r="K65" i="18"/>
  <c r="K147" i="18"/>
  <c r="K208" i="18"/>
  <c r="K29" i="18"/>
  <c r="K114" i="18"/>
  <c r="K89" i="18"/>
  <c r="K42" i="18"/>
  <c r="K102" i="18"/>
  <c r="K113" i="18"/>
  <c r="K123" i="18"/>
  <c r="K101" i="18"/>
  <c r="K207" i="18"/>
  <c r="K196" i="18"/>
  <c r="K51" i="18"/>
  <c r="K186" i="18"/>
  <c r="K90" i="18"/>
  <c r="K111" i="18"/>
  <c r="K27" i="18"/>
  <c r="K183" i="18"/>
  <c r="K100" i="18"/>
  <c r="K210" i="18"/>
  <c r="K99" i="18"/>
  <c r="K52" i="18"/>
  <c r="K197" i="18"/>
  <c r="K126" i="18"/>
  <c r="K139" i="18"/>
  <c r="E13" i="29"/>
  <c r="K187" i="18"/>
  <c r="K28" i="18"/>
  <c r="K115" i="18"/>
  <c r="K127" i="18"/>
  <c r="K88" i="18"/>
  <c r="K160" i="18"/>
  <c r="J34" i="29"/>
  <c r="J39" i="29" s="1"/>
  <c r="G212" i="18"/>
  <c r="K125" i="18"/>
  <c r="K211" i="18"/>
  <c r="C67" i="18"/>
  <c r="D90" i="18"/>
  <c r="D102" i="18" s="1"/>
  <c r="D114" i="18" s="1"/>
  <c r="D126" i="18" s="1"/>
  <c r="D138" i="18" s="1"/>
  <c r="D150" i="18" s="1"/>
  <c r="D162" i="18" s="1"/>
  <c r="D174" i="18" s="1"/>
  <c r="D77" i="18"/>
  <c r="D89" i="18"/>
  <c r="D101" i="18" s="1"/>
  <c r="D113" i="18" s="1"/>
  <c r="D125" i="18" s="1"/>
  <c r="D137" i="18" s="1"/>
  <c r="D149" i="18" s="1"/>
  <c r="D161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C69" i="18"/>
  <c r="D56" i="18"/>
  <c r="D80" i="18" s="1"/>
  <c r="D92" i="18" s="1"/>
  <c r="D104" i="18" s="1"/>
  <c r="D116" i="18" s="1"/>
  <c r="D128" i="18" s="1"/>
  <c r="D140" i="18" s="1"/>
  <c r="D152" i="18" s="1"/>
  <c r="F29" i="29"/>
  <c r="I29" i="29" s="1"/>
  <c r="K29" i="29" s="1"/>
  <c r="F32" i="29"/>
  <c r="I32" i="29" s="1"/>
  <c r="K32" i="29" s="1"/>
  <c r="F24" i="29"/>
  <c r="I24" i="29" s="1"/>
  <c r="K24" i="29" s="1"/>
  <c r="F30" i="29"/>
  <c r="I30" i="29" s="1"/>
  <c r="K30" i="29" s="1"/>
  <c r="H34" i="29"/>
  <c r="F37" i="29"/>
  <c r="I37" i="29" s="1"/>
  <c r="K37" i="29" s="1"/>
  <c r="G34" i="29"/>
  <c r="F27" i="29"/>
  <c r="I27" i="29" s="1"/>
  <c r="K27" i="29" s="1"/>
  <c r="F33" i="29"/>
  <c r="I33" i="29" s="1"/>
  <c r="K33" i="29" s="1"/>
  <c r="E34" i="29"/>
  <c r="F22" i="29"/>
  <c r="I22" i="29" s="1"/>
  <c r="K22" i="29" s="1"/>
  <c r="H38" i="29"/>
  <c r="F21" i="29"/>
  <c r="D34" i="29"/>
  <c r="F35" i="29"/>
  <c r="D38" i="29"/>
  <c r="F25" i="29"/>
  <c r="I25" i="29" s="1"/>
  <c r="K25" i="29" s="1"/>
  <c r="F28" i="29"/>
  <c r="I28" i="29" s="1"/>
  <c r="K28" i="29" s="1"/>
  <c r="E38" i="29"/>
  <c r="F31" i="29"/>
  <c r="I31" i="29" s="1"/>
  <c r="K31" i="29" s="1"/>
  <c r="G38" i="29"/>
  <c r="F36" i="29"/>
  <c r="I36" i="29" s="1"/>
  <c r="K36" i="29" s="1"/>
  <c r="F26" i="29"/>
  <c r="I26" i="29" s="1"/>
  <c r="K26" i="29" s="1"/>
  <c r="F23" i="29"/>
  <c r="I23" i="29" s="1"/>
  <c r="K23" i="29" s="1"/>
  <c r="C165" i="18"/>
  <c r="C177" i="18"/>
  <c r="C189" i="18" s="1"/>
  <c r="C201" i="18" s="1"/>
  <c r="D183" i="18"/>
  <c r="D195" i="18" s="1"/>
  <c r="D207" i="18" s="1"/>
  <c r="D171" i="18"/>
  <c r="C164" i="18"/>
  <c r="C176" i="18"/>
  <c r="C188" i="18" s="1"/>
  <c r="C200" i="18" s="1"/>
  <c r="C186" i="18"/>
  <c r="C198" i="18" s="1"/>
  <c r="C210" i="18" s="1"/>
  <c r="C174" i="18"/>
  <c r="C180" i="18"/>
  <c r="C192" i="18" s="1"/>
  <c r="C204" i="18" s="1"/>
  <c r="C168" i="18"/>
  <c r="D182" i="18"/>
  <c r="D194" i="18" s="1"/>
  <c r="D206" i="18" s="1"/>
  <c r="C172" i="18"/>
  <c r="C184" i="18"/>
  <c r="C196" i="18" s="1"/>
  <c r="C208" i="18" s="1"/>
  <c r="D185" i="18"/>
  <c r="D197" i="18" s="1"/>
  <c r="D209" i="18" s="1"/>
  <c r="D173" i="18"/>
  <c r="O14" i="18"/>
  <c r="C171" i="18"/>
  <c r="C183" i="18"/>
  <c r="C195" i="18" s="1"/>
  <c r="C207" i="18" s="1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D68" i="18"/>
  <c r="C47" i="18"/>
  <c r="C59" i="18"/>
  <c r="D186" i="18"/>
  <c r="D198" i="18" s="1"/>
  <c r="D210" i="18" s="1"/>
  <c r="C16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79" i="18"/>
  <c r="C91" i="18"/>
  <c r="C103" i="18" s="1"/>
  <c r="C115" i="18" s="1"/>
  <c r="C127" i="18" s="1"/>
  <c r="C139" i="18" s="1"/>
  <c r="C151" i="18" s="1"/>
  <c r="C163" i="18" s="1"/>
  <c r="C89" i="18"/>
  <c r="C101" i="18" s="1"/>
  <c r="C113" i="18" s="1"/>
  <c r="C125" i="18" s="1"/>
  <c r="C137" i="18" s="1"/>
  <c r="C149" i="18" s="1"/>
  <c r="C161" i="18" s="1"/>
  <c r="C77" i="18"/>
  <c r="D84" i="18"/>
  <c r="D96" i="18" s="1"/>
  <c r="D108" i="18" s="1"/>
  <c r="D120" i="18" s="1"/>
  <c r="D132" i="18" s="1"/>
  <c r="D144" i="18" s="1"/>
  <c r="D156" i="18" s="1"/>
  <c r="D69" i="18"/>
  <c r="D81" i="18"/>
  <c r="D93" i="18" s="1"/>
  <c r="D105" i="18" s="1"/>
  <c r="D117" i="18" s="1"/>
  <c r="D129" i="18" s="1"/>
  <c r="D141" i="18" s="1"/>
  <c r="D153" i="18" s="1"/>
  <c r="D75" i="18"/>
  <c r="K163" i="18"/>
  <c r="K112" i="18"/>
  <c r="D64" i="18"/>
  <c r="D52" i="18"/>
  <c r="G39" i="29" l="1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D177" i="18"/>
  <c r="D189" i="18" s="1"/>
  <c r="D201" i="18" s="1"/>
  <c r="D165" i="18"/>
  <c r="D164" i="18"/>
  <c r="D176" i="18"/>
  <c r="D188" i="18" s="1"/>
  <c r="D200" i="18" s="1"/>
  <c r="I35" i="29"/>
  <c r="F38" i="29"/>
  <c r="D168" i="18"/>
  <c r="D180" i="18"/>
  <c r="D192" i="18" s="1"/>
  <c r="D204" i="18" s="1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D39" i="29"/>
  <c r="E39" i="29"/>
  <c r="D88" i="18"/>
  <c r="D100" i="18" s="1"/>
  <c r="D112" i="18" s="1"/>
  <c r="D124" i="18" s="1"/>
  <c r="D136" i="18" s="1"/>
  <c r="D148" i="18" s="1"/>
  <c r="D160" i="18" s="1"/>
  <c r="D76" i="18"/>
  <c r="C175" i="18"/>
  <c r="C187" i="18"/>
  <c r="C199" i="18" s="1"/>
  <c r="C211" i="18" s="1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I21" i="29"/>
  <c r="H39" i="29"/>
  <c r="F39" i="29" l="1"/>
  <c r="Q13" i="18"/>
  <c r="Q14" i="18"/>
  <c r="C170" i="18"/>
  <c r="C182" i="18"/>
  <c r="C194" i="18" s="1"/>
  <c r="C206" i="18" s="1"/>
  <c r="C178" i="18"/>
  <c r="C190" i="18" s="1"/>
  <c r="C202" i="18" s="1"/>
  <c r="C166" i="18"/>
  <c r="K21" i="29"/>
  <c r="I34" i="29"/>
  <c r="I38" i="29"/>
  <c r="K38" i="29" s="1"/>
  <c r="K35" i="29"/>
  <c r="C167" i="18"/>
  <c r="C179" i="18"/>
  <c r="C191" i="18" s="1"/>
  <c r="C203" i="18" s="1"/>
  <c r="D184" i="18"/>
  <c r="D196" i="18" s="1"/>
  <c r="D208" i="18" s="1"/>
  <c r="D172" i="18"/>
  <c r="K34" i="29" l="1"/>
  <c r="I39" i="29"/>
  <c r="K39" i="29" l="1"/>
  <c r="K204" i="18" l="1"/>
  <c r="K200" i="18"/>
  <c r="K192" i="18"/>
  <c r="K188" i="18"/>
  <c r="K180" i="18"/>
  <c r="K176" i="18"/>
  <c r="K168" i="18"/>
  <c r="K164" i="18"/>
  <c r="K156" i="18"/>
  <c r="K152" i="18"/>
  <c r="K144" i="18"/>
  <c r="K140" i="18"/>
  <c r="K132" i="18"/>
  <c r="K128" i="18"/>
  <c r="K120" i="18"/>
  <c r="K116" i="18"/>
  <c r="K108" i="18"/>
  <c r="K104" i="18"/>
  <c r="K96" i="18"/>
  <c r="K92" i="18"/>
  <c r="K84" i="18"/>
  <c r="K80" i="18"/>
  <c r="K72" i="18"/>
  <c r="K68" i="18"/>
  <c r="K60" i="18"/>
  <c r="K206" i="18"/>
  <c r="K202" i="18"/>
  <c r="K194" i="18"/>
  <c r="K190" i="18"/>
  <c r="K182" i="18"/>
  <c r="K178" i="18"/>
  <c r="K170" i="18"/>
  <c r="K166" i="18"/>
  <c r="K158" i="18"/>
  <c r="K205" i="18"/>
  <c r="K189" i="18"/>
  <c r="K181" i="18"/>
  <c r="K165" i="18"/>
  <c r="K157" i="18"/>
  <c r="K146" i="18"/>
  <c r="K141" i="18"/>
  <c r="K130" i="18"/>
  <c r="K119" i="18"/>
  <c r="K109" i="18"/>
  <c r="K98" i="18"/>
  <c r="K93" i="18"/>
  <c r="K82" i="18"/>
  <c r="K71" i="18"/>
  <c r="K61" i="18"/>
  <c r="K56" i="18"/>
  <c r="K48" i="18"/>
  <c r="K44" i="18"/>
  <c r="K36" i="18"/>
  <c r="K32" i="18"/>
  <c r="K23" i="18"/>
  <c r="K203" i="18"/>
  <c r="K179" i="18"/>
  <c r="K155" i="18"/>
  <c r="K145" i="18"/>
  <c r="K134" i="18"/>
  <c r="K129" i="18"/>
  <c r="K118" i="18"/>
  <c r="K107" i="18"/>
  <c r="K97" i="18"/>
  <c r="K86" i="18"/>
  <c r="K81" i="18"/>
  <c r="K70" i="18"/>
  <c r="K59" i="18"/>
  <c r="K47" i="18"/>
  <c r="K35" i="18"/>
  <c r="K26" i="18"/>
  <c r="K22" i="18"/>
  <c r="K191" i="18"/>
  <c r="K105" i="18"/>
  <c r="K94" i="18"/>
  <c r="K83" i="18"/>
  <c r="K73" i="18"/>
  <c r="K62" i="18"/>
  <c r="K45" i="18"/>
  <c r="K37" i="18"/>
  <c r="K24" i="18"/>
  <c r="K167" i="18"/>
  <c r="K131" i="18"/>
  <c r="K57" i="18"/>
  <c r="K20" i="18"/>
  <c r="K201" i="18"/>
  <c r="K169" i="18"/>
  <c r="K154" i="18"/>
  <c r="K143" i="18"/>
  <c r="K133" i="18"/>
  <c r="K122" i="18"/>
  <c r="K69" i="18"/>
  <c r="K58" i="18"/>
  <c r="K50" i="18"/>
  <c r="K34" i="18"/>
  <c r="K21" i="18"/>
  <c r="K153" i="18"/>
  <c r="K142" i="18"/>
  <c r="K121" i="18"/>
  <c r="K110" i="18"/>
  <c r="K49" i="18"/>
  <c r="K33" i="18"/>
  <c r="K193" i="18"/>
  <c r="K177" i="18"/>
  <c r="K117" i="18"/>
  <c r="K106" i="18"/>
  <c r="K95" i="18"/>
  <c r="K85" i="18"/>
  <c r="K74" i="18"/>
  <c r="K46" i="18"/>
  <c r="K38" i="18"/>
  <c r="K25" i="18"/>
  <c r="K14" i="18" l="1"/>
  <c r="K212" i="18"/>
  <c r="K13" i="18"/>
  <c r="F12" i="29" l="1"/>
  <c r="M202" i="18" l="1"/>
  <c r="M61" i="18"/>
  <c r="M155" i="18"/>
  <c r="M59" i="18"/>
  <c r="M97" i="18"/>
  <c r="M40" i="18"/>
  <c r="M194" i="18"/>
  <c r="M83" i="18"/>
  <c r="M28" i="18"/>
  <c r="M180" i="18"/>
  <c r="M100" i="18"/>
  <c r="M115" i="18"/>
  <c r="M191" i="18"/>
  <c r="M38" i="18"/>
  <c r="M51" i="18"/>
  <c r="M209" i="18"/>
  <c r="M88" i="18"/>
  <c r="M79" i="18"/>
  <c r="M151" i="18"/>
  <c r="M131" i="18"/>
  <c r="M149" i="18"/>
  <c r="M108" i="18"/>
  <c r="M54" i="18"/>
  <c r="M132" i="18"/>
  <c r="M174" i="18"/>
  <c r="M127" i="18"/>
  <c r="M211" i="18"/>
  <c r="M30" i="18"/>
  <c r="M74" i="18"/>
  <c r="M90" i="18"/>
  <c r="M33" i="18"/>
  <c r="M81" i="18"/>
  <c r="M163" i="18"/>
  <c r="M138" i="18"/>
  <c r="M162" i="18"/>
  <c r="M109" i="18"/>
  <c r="M42" i="18"/>
  <c r="M26" i="18"/>
  <c r="M91" i="18"/>
  <c r="M43" i="18"/>
  <c r="M143" i="18"/>
  <c r="M142" i="18"/>
  <c r="M55" i="18"/>
  <c r="M187" i="18"/>
  <c r="M50" i="18"/>
  <c r="M62" i="18"/>
  <c r="M135" i="18"/>
  <c r="M77" i="18"/>
  <c r="M148" i="18"/>
  <c r="M160" i="18"/>
  <c r="M133" i="18"/>
  <c r="M190" i="18"/>
  <c r="M141" i="18"/>
  <c r="M53" i="18"/>
  <c r="M105" i="18"/>
  <c r="M197" i="18"/>
  <c r="M98" i="18"/>
  <c r="M175" i="18"/>
  <c r="M31" i="18"/>
  <c r="M168" i="18"/>
  <c r="M128" i="18"/>
  <c r="M75" i="18"/>
  <c r="M103" i="18"/>
  <c r="M68" i="18"/>
  <c r="M76" i="18"/>
  <c r="M169" i="18"/>
  <c r="M60" i="18"/>
  <c r="M36" i="18"/>
  <c r="M118" i="18"/>
  <c r="M161" i="18"/>
  <c r="M112" i="18"/>
  <c r="M171" i="18"/>
  <c r="M107" i="18"/>
  <c r="M199" i="18"/>
  <c r="M195" i="18"/>
  <c r="M116" i="18"/>
  <c r="M39" i="18"/>
  <c r="M64" i="18"/>
  <c r="M111" i="18"/>
  <c r="M27" i="18"/>
  <c r="M158" i="18"/>
  <c r="M89" i="18"/>
  <c r="M85" i="18"/>
  <c r="M34" i="18"/>
  <c r="M23" i="18"/>
  <c r="M192" i="18"/>
  <c r="M49" i="18"/>
  <c r="M172" i="18"/>
  <c r="M44" i="18"/>
  <c r="M25" i="18"/>
  <c r="M177" i="18"/>
  <c r="M29" i="18"/>
  <c r="M157" i="18"/>
  <c r="M58" i="18"/>
  <c r="M154" i="18"/>
  <c r="M80" i="18"/>
  <c r="M150" i="18"/>
  <c r="M45" i="18"/>
  <c r="M82" i="18"/>
  <c r="M200" i="18"/>
  <c r="M65" i="18"/>
  <c r="M210" i="18"/>
  <c r="M72" i="18"/>
  <c r="M152" i="18"/>
  <c r="M153" i="18"/>
  <c r="M113" i="18"/>
  <c r="M203" i="18"/>
  <c r="M137" i="18"/>
  <c r="M140" i="18"/>
  <c r="M41" i="18"/>
  <c r="M156" i="18"/>
  <c r="M104" i="18"/>
  <c r="M198" i="18"/>
  <c r="M47" i="18"/>
  <c r="M147" i="18"/>
  <c r="M206" i="18"/>
  <c r="M166" i="18"/>
  <c r="M66" i="18"/>
  <c r="M173" i="18"/>
  <c r="M46" i="18"/>
  <c r="M130" i="18"/>
  <c r="M159" i="18"/>
  <c r="M114" i="18"/>
  <c r="M71" i="18"/>
  <c r="M21" i="18"/>
  <c r="M170" i="18"/>
  <c r="M181" i="18"/>
  <c r="M167" i="18"/>
  <c r="M56" i="18"/>
  <c r="M144" i="18"/>
  <c r="M176" i="18"/>
  <c r="M96" i="18"/>
  <c r="M164" i="18"/>
  <c r="M32" i="18"/>
  <c r="M126" i="18"/>
  <c r="M78" i="18"/>
  <c r="M63" i="18"/>
  <c r="M134" i="18"/>
  <c r="M185" i="18"/>
  <c r="M86" i="18"/>
  <c r="M70" i="18"/>
  <c r="M184" i="18"/>
  <c r="M94" i="18"/>
  <c r="M205" i="18"/>
  <c r="M52" i="18"/>
  <c r="M101" i="18"/>
  <c r="M125" i="18"/>
  <c r="M67" i="18"/>
  <c r="M129" i="18"/>
  <c r="M22" i="18"/>
  <c r="M139" i="18"/>
  <c r="M201" i="18"/>
  <c r="M122" i="18"/>
  <c r="M20" i="18"/>
  <c r="M183" i="18"/>
  <c r="M196" i="18"/>
  <c r="M188" i="18"/>
  <c r="M120" i="18"/>
  <c r="M179" i="18"/>
  <c r="M119" i="18"/>
  <c r="M69" i="18"/>
  <c r="M204" i="18"/>
  <c r="M117" i="18"/>
  <c r="M95" i="18"/>
  <c r="M182" i="18"/>
  <c r="M48" i="18"/>
  <c r="M87" i="18"/>
  <c r="M136" i="18"/>
  <c r="M165" i="18"/>
  <c r="M193" i="18"/>
  <c r="M35" i="18"/>
  <c r="M102" i="18"/>
  <c r="M208" i="18"/>
  <c r="M92" i="18"/>
  <c r="M207" i="18"/>
  <c r="M124" i="18"/>
  <c r="M121" i="18"/>
  <c r="M84" i="18"/>
  <c r="M24" i="18"/>
  <c r="M37" i="18"/>
  <c r="M146" i="18"/>
  <c r="M123" i="18"/>
  <c r="M57" i="18"/>
  <c r="M110" i="18"/>
  <c r="M106" i="18"/>
  <c r="M189" i="18"/>
  <c r="M145" i="18"/>
  <c r="M93" i="18"/>
  <c r="M73" i="18"/>
  <c r="M178" i="18"/>
  <c r="M186" i="18"/>
  <c r="M99" i="18"/>
  <c r="M212" i="18" l="1"/>
  <c r="M13" i="18"/>
  <c r="I137" i="18" l="1"/>
  <c r="J137" i="18" s="1"/>
  <c r="L137" i="18" s="1"/>
  <c r="N137" i="18" s="1"/>
  <c r="R137" i="18" s="1"/>
  <c r="I209" i="18"/>
  <c r="J209" i="18" s="1"/>
  <c r="L209" i="18" s="1"/>
  <c r="N209" i="18" s="1"/>
  <c r="R209" i="18" s="1"/>
  <c r="I101" i="18"/>
  <c r="J101" i="18" s="1"/>
  <c r="L101" i="18" s="1"/>
  <c r="N101" i="18" s="1"/>
  <c r="R101" i="18" s="1"/>
  <c r="I45" i="18"/>
  <c r="J45" i="18" s="1"/>
  <c r="L45" i="18" s="1"/>
  <c r="N45" i="18" s="1"/>
  <c r="R45" i="18" s="1"/>
  <c r="I75" i="18"/>
  <c r="J75" i="18" s="1"/>
  <c r="L75" i="18" s="1"/>
  <c r="N75" i="18" s="1"/>
  <c r="R75" i="18" s="1"/>
  <c r="I150" i="18"/>
  <c r="J150" i="18" s="1"/>
  <c r="L150" i="18" s="1"/>
  <c r="N150" i="18" s="1"/>
  <c r="R150" i="18" s="1"/>
  <c r="I87" i="18"/>
  <c r="J87" i="18" s="1"/>
  <c r="L87" i="18" s="1"/>
  <c r="N87" i="18" s="1"/>
  <c r="R87" i="18" s="1"/>
  <c r="I196" i="18"/>
  <c r="J196" i="18" s="1"/>
  <c r="L196" i="18" s="1"/>
  <c r="N196" i="18" s="1"/>
  <c r="R196" i="18" s="1"/>
  <c r="I173" i="18"/>
  <c r="J173" i="18" s="1"/>
  <c r="L173" i="18" s="1"/>
  <c r="N173" i="18" s="1"/>
  <c r="R173" i="18" s="1"/>
  <c r="I102" i="18"/>
  <c r="J102" i="18" s="1"/>
  <c r="L102" i="18" s="1"/>
  <c r="N102" i="18" s="1"/>
  <c r="R102" i="18" s="1"/>
  <c r="I148" i="18"/>
  <c r="J148" i="18" s="1"/>
  <c r="L148" i="18" s="1"/>
  <c r="N148" i="18" s="1"/>
  <c r="R148" i="18" s="1"/>
  <c r="I41" i="18"/>
  <c r="J41" i="18" s="1"/>
  <c r="L41" i="18" s="1"/>
  <c r="N41" i="18" s="1"/>
  <c r="R41" i="18" s="1"/>
  <c r="I191" i="18"/>
  <c r="J191" i="18" s="1"/>
  <c r="L191" i="18" s="1"/>
  <c r="N191" i="18" s="1"/>
  <c r="R191" i="18" s="1"/>
  <c r="I192" i="18"/>
  <c r="J192" i="18" s="1"/>
  <c r="L192" i="18" s="1"/>
  <c r="N192" i="18" s="1"/>
  <c r="R192" i="18" s="1"/>
  <c r="I73" i="18"/>
  <c r="J73" i="18" s="1"/>
  <c r="L73" i="18" s="1"/>
  <c r="N73" i="18" s="1"/>
  <c r="R73" i="18" s="1"/>
  <c r="I89" i="18"/>
  <c r="J89" i="18" s="1"/>
  <c r="L89" i="18" s="1"/>
  <c r="N89" i="18" s="1"/>
  <c r="R89" i="18" s="1"/>
  <c r="I165" i="18"/>
  <c r="J165" i="18" s="1"/>
  <c r="L165" i="18" s="1"/>
  <c r="N165" i="18" s="1"/>
  <c r="R165" i="18" s="1"/>
  <c r="I56" i="18"/>
  <c r="J56" i="18" s="1"/>
  <c r="I203" i="18"/>
  <c r="J203" i="18" s="1"/>
  <c r="L203" i="18" s="1"/>
  <c r="N203" i="18" s="1"/>
  <c r="R203" i="18" s="1"/>
  <c r="I84" i="18"/>
  <c r="J84" i="18" s="1"/>
  <c r="L84" i="18" s="1"/>
  <c r="N84" i="18" s="1"/>
  <c r="R84" i="18" s="1"/>
  <c r="I197" i="18"/>
  <c r="J197" i="18" s="1"/>
  <c r="L197" i="18" s="1"/>
  <c r="N197" i="18" s="1"/>
  <c r="R197" i="18" s="1"/>
  <c r="I123" i="18"/>
  <c r="J123" i="18" s="1"/>
  <c r="L123" i="18" s="1"/>
  <c r="N123" i="18" s="1"/>
  <c r="R123" i="18" s="1"/>
  <c r="I52" i="18"/>
  <c r="J52" i="18" s="1"/>
  <c r="L52" i="18" s="1"/>
  <c r="N52" i="18" s="1"/>
  <c r="R52" i="18" s="1"/>
  <c r="I21" i="18"/>
  <c r="J21" i="18" s="1"/>
  <c r="L21" i="18" s="1"/>
  <c r="N21" i="18" s="1"/>
  <c r="R21" i="18" s="1"/>
  <c r="I178" i="18"/>
  <c r="J178" i="18" s="1"/>
  <c r="L178" i="18" s="1"/>
  <c r="N178" i="18" s="1"/>
  <c r="R178" i="18" s="1"/>
  <c r="I188" i="18"/>
  <c r="J188" i="18" s="1"/>
  <c r="L188" i="18" s="1"/>
  <c r="N188" i="18" s="1"/>
  <c r="R188" i="18" s="1"/>
  <c r="I40" i="18"/>
  <c r="J40" i="18" s="1"/>
  <c r="L40" i="18" s="1"/>
  <c r="N40" i="18" s="1"/>
  <c r="R40" i="18" s="1"/>
  <c r="I64" i="18"/>
  <c r="J64" i="18" s="1"/>
  <c r="L64" i="18" s="1"/>
  <c r="N64" i="18" s="1"/>
  <c r="R64" i="18" s="1"/>
  <c r="I170" i="18"/>
  <c r="J170" i="18" s="1"/>
  <c r="L170" i="18" s="1"/>
  <c r="N170" i="18" s="1"/>
  <c r="R170" i="18" s="1"/>
  <c r="I169" i="18"/>
  <c r="J169" i="18" s="1"/>
  <c r="L169" i="18" s="1"/>
  <c r="N169" i="18" s="1"/>
  <c r="R169" i="18" s="1"/>
  <c r="I189" i="18"/>
  <c r="J189" i="18" s="1"/>
  <c r="L189" i="18" s="1"/>
  <c r="N189" i="18" s="1"/>
  <c r="R189" i="18" s="1"/>
  <c r="I199" i="18"/>
  <c r="J199" i="18" s="1"/>
  <c r="L199" i="18" s="1"/>
  <c r="N199" i="18" s="1"/>
  <c r="R199" i="18" s="1"/>
  <c r="I55" i="18"/>
  <c r="J55" i="18" s="1"/>
  <c r="L55" i="18" s="1"/>
  <c r="N55" i="18" s="1"/>
  <c r="R55" i="18" s="1"/>
  <c r="I63" i="18"/>
  <c r="J63" i="18" s="1"/>
  <c r="L63" i="18" s="1"/>
  <c r="N63" i="18" s="1"/>
  <c r="R63" i="18" s="1"/>
  <c r="I139" i="18"/>
  <c r="J139" i="18" s="1"/>
  <c r="L139" i="18" s="1"/>
  <c r="N139" i="18" s="1"/>
  <c r="R139" i="18" s="1"/>
  <c r="I105" i="18"/>
  <c r="J105" i="18" s="1"/>
  <c r="L105" i="18" s="1"/>
  <c r="N105" i="18" s="1"/>
  <c r="R105" i="18" s="1"/>
  <c r="I58" i="18"/>
  <c r="J58" i="18" s="1"/>
  <c r="L58" i="18" s="1"/>
  <c r="N58" i="18" s="1"/>
  <c r="R58" i="18" s="1"/>
  <c r="I126" i="18"/>
  <c r="J126" i="18" s="1"/>
  <c r="L126" i="18" s="1"/>
  <c r="N126" i="18" s="1"/>
  <c r="R126" i="18" s="1"/>
  <c r="I94" i="18"/>
  <c r="J94" i="18" s="1"/>
  <c r="L94" i="18" s="1"/>
  <c r="N94" i="18" s="1"/>
  <c r="R94" i="18" s="1"/>
  <c r="I168" i="18"/>
  <c r="J168" i="18" s="1"/>
  <c r="L168" i="18" s="1"/>
  <c r="N168" i="18" s="1"/>
  <c r="R168" i="18" s="1"/>
  <c r="I157" i="18"/>
  <c r="J157" i="18" s="1"/>
  <c r="L157" i="18" s="1"/>
  <c r="N157" i="18" s="1"/>
  <c r="R157" i="18" s="1"/>
  <c r="I185" i="18"/>
  <c r="J185" i="18" s="1"/>
  <c r="L185" i="18" s="1"/>
  <c r="N185" i="18" s="1"/>
  <c r="R185" i="18" s="1"/>
  <c r="I152" i="18"/>
  <c r="J152" i="18" s="1"/>
  <c r="L152" i="18" s="1"/>
  <c r="N152" i="18" s="1"/>
  <c r="R152" i="18" s="1"/>
  <c r="I62" i="18"/>
  <c r="J62" i="18" s="1"/>
  <c r="L62" i="18" s="1"/>
  <c r="N62" i="18" s="1"/>
  <c r="R62" i="18" s="1"/>
  <c r="I146" i="18"/>
  <c r="J146" i="18" s="1"/>
  <c r="L146" i="18" s="1"/>
  <c r="N146" i="18" s="1"/>
  <c r="R146" i="18" s="1"/>
  <c r="I61" i="18"/>
  <c r="J61" i="18" s="1"/>
  <c r="L61" i="18" s="1"/>
  <c r="N61" i="18" s="1"/>
  <c r="R61" i="18" s="1"/>
  <c r="I124" i="18"/>
  <c r="J124" i="18" s="1"/>
  <c r="L124" i="18" s="1"/>
  <c r="N124" i="18" s="1"/>
  <c r="R124" i="18" s="1"/>
  <c r="I200" i="18"/>
  <c r="J200" i="18" s="1"/>
  <c r="L200" i="18" s="1"/>
  <c r="N200" i="18" s="1"/>
  <c r="R200" i="18" s="1"/>
  <c r="I53" i="18"/>
  <c r="J53" i="18" s="1"/>
  <c r="L53" i="18" s="1"/>
  <c r="N53" i="18" s="1"/>
  <c r="R53" i="18" s="1"/>
  <c r="I69" i="18"/>
  <c r="J69" i="18" s="1"/>
  <c r="L69" i="18" s="1"/>
  <c r="N69" i="18" s="1"/>
  <c r="R69" i="18" s="1"/>
  <c r="I66" i="18"/>
  <c r="J66" i="18" s="1"/>
  <c r="L66" i="18" s="1"/>
  <c r="N66" i="18" s="1"/>
  <c r="R66" i="18" s="1"/>
  <c r="I28" i="18"/>
  <c r="J28" i="18" s="1"/>
  <c r="L28" i="18" s="1"/>
  <c r="N28" i="18" s="1"/>
  <c r="R28" i="18" s="1"/>
  <c r="I144" i="18"/>
  <c r="J144" i="18" s="1"/>
  <c r="L144" i="18" s="1"/>
  <c r="N144" i="18" s="1"/>
  <c r="R144" i="18" s="1"/>
  <c r="I179" i="18"/>
  <c r="J179" i="18" s="1"/>
  <c r="L179" i="18" s="1"/>
  <c r="N179" i="18" s="1"/>
  <c r="R179" i="18" s="1"/>
  <c r="I39" i="18"/>
  <c r="J39" i="18" s="1"/>
  <c r="L39" i="18" s="1"/>
  <c r="N39" i="18" s="1"/>
  <c r="R39" i="18" s="1"/>
  <c r="I104" i="18"/>
  <c r="J104" i="18" s="1"/>
  <c r="L104" i="18" s="1"/>
  <c r="N104" i="18" s="1"/>
  <c r="R104" i="18" s="1"/>
  <c r="I128" i="18"/>
  <c r="J128" i="18" s="1"/>
  <c r="L128" i="18" s="1"/>
  <c r="N128" i="18" s="1"/>
  <c r="R128" i="18" s="1"/>
  <c r="I132" i="18"/>
  <c r="J132" i="18" s="1"/>
  <c r="L132" i="18" s="1"/>
  <c r="N132" i="18" s="1"/>
  <c r="R132" i="18" s="1"/>
  <c r="I33" i="18"/>
  <c r="J33" i="18" s="1"/>
  <c r="L33" i="18" s="1"/>
  <c r="N33" i="18" s="1"/>
  <c r="R33" i="18" s="1"/>
  <c r="I183" i="18"/>
  <c r="J183" i="18" s="1"/>
  <c r="L183" i="18" s="1"/>
  <c r="N183" i="18" s="1"/>
  <c r="R183" i="18" s="1"/>
  <c r="I136" i="18"/>
  <c r="J136" i="18" s="1"/>
  <c r="L136" i="18" s="1"/>
  <c r="N136" i="18" s="1"/>
  <c r="R136" i="18" s="1"/>
  <c r="I30" i="18"/>
  <c r="J30" i="18" s="1"/>
  <c r="L30" i="18" s="1"/>
  <c r="N30" i="18" s="1"/>
  <c r="R30" i="18" s="1"/>
  <c r="I208" i="18"/>
  <c r="J208" i="18" s="1"/>
  <c r="L208" i="18" s="1"/>
  <c r="N208" i="18" s="1"/>
  <c r="R208" i="18" s="1"/>
  <c r="I181" i="18"/>
  <c r="J181" i="18" s="1"/>
  <c r="L181" i="18" s="1"/>
  <c r="N181" i="18" s="1"/>
  <c r="R181" i="18" s="1"/>
  <c r="I81" i="18"/>
  <c r="J81" i="18" s="1"/>
  <c r="L81" i="18" s="1"/>
  <c r="N81" i="18" s="1"/>
  <c r="R81" i="18" s="1"/>
  <c r="I182" i="18"/>
  <c r="J182" i="18" s="1"/>
  <c r="L182" i="18" s="1"/>
  <c r="N182" i="18" s="1"/>
  <c r="R182" i="18" s="1"/>
  <c r="I71" i="18"/>
  <c r="J71" i="18" s="1"/>
  <c r="L71" i="18" s="1"/>
  <c r="N71" i="18" s="1"/>
  <c r="R71" i="18" s="1"/>
  <c r="I97" i="18"/>
  <c r="J97" i="18" s="1"/>
  <c r="L97" i="18" s="1"/>
  <c r="N97" i="18" s="1"/>
  <c r="R97" i="18" s="1"/>
  <c r="I31" i="18"/>
  <c r="J31" i="18" s="1"/>
  <c r="L31" i="18" s="1"/>
  <c r="N31" i="18" s="1"/>
  <c r="R31" i="18" s="1"/>
  <c r="I83" i="18"/>
  <c r="J83" i="18" s="1"/>
  <c r="L83" i="18" s="1"/>
  <c r="N83" i="18" s="1"/>
  <c r="R83" i="18" s="1"/>
  <c r="I115" i="18"/>
  <c r="J115" i="18" s="1"/>
  <c r="L115" i="18" s="1"/>
  <c r="N115" i="18" s="1"/>
  <c r="R115" i="18" s="1"/>
  <c r="I60" i="18"/>
  <c r="J60" i="18" s="1"/>
  <c r="L60" i="18" s="1"/>
  <c r="N60" i="18" s="1"/>
  <c r="R60" i="18" s="1"/>
  <c r="I37" i="18"/>
  <c r="J37" i="18" s="1"/>
  <c r="L37" i="18" s="1"/>
  <c r="N37" i="18" s="1"/>
  <c r="R37" i="18" s="1"/>
  <c r="I91" i="18"/>
  <c r="J91" i="18" s="1"/>
  <c r="L91" i="18" s="1"/>
  <c r="N91" i="18" s="1"/>
  <c r="R91" i="18" s="1"/>
  <c r="I113" i="18"/>
  <c r="J113" i="18" s="1"/>
  <c r="L113" i="18" s="1"/>
  <c r="N113" i="18" s="1"/>
  <c r="R113" i="18" s="1"/>
  <c r="I143" i="18"/>
  <c r="J143" i="18" s="1"/>
  <c r="L143" i="18" s="1"/>
  <c r="N143" i="18" s="1"/>
  <c r="R143" i="18" s="1"/>
  <c r="I110" i="18"/>
  <c r="J110" i="18" s="1"/>
  <c r="L110" i="18" s="1"/>
  <c r="N110" i="18" s="1"/>
  <c r="R110" i="18" s="1"/>
  <c r="I109" i="18"/>
  <c r="J109" i="18" s="1"/>
  <c r="L109" i="18" s="1"/>
  <c r="N109" i="18" s="1"/>
  <c r="R109" i="18" s="1"/>
  <c r="I76" i="18"/>
  <c r="J76" i="18" s="1"/>
  <c r="L76" i="18" s="1"/>
  <c r="N76" i="18" s="1"/>
  <c r="R76" i="18" s="1"/>
  <c r="I174" i="18"/>
  <c r="J174" i="18" s="1"/>
  <c r="L174" i="18" s="1"/>
  <c r="N174" i="18" s="1"/>
  <c r="R174" i="18" s="1"/>
  <c r="I154" i="18"/>
  <c r="J154" i="18" s="1"/>
  <c r="L154" i="18" s="1"/>
  <c r="N154" i="18" s="1"/>
  <c r="R154" i="18" s="1"/>
  <c r="I142" i="18"/>
  <c r="J142" i="18" s="1"/>
  <c r="L142" i="18" s="1"/>
  <c r="N142" i="18" s="1"/>
  <c r="R142" i="18" s="1"/>
  <c r="I121" i="18"/>
  <c r="J121" i="18" s="1"/>
  <c r="L121" i="18" s="1"/>
  <c r="N121" i="18" s="1"/>
  <c r="R121" i="18" s="1"/>
  <c r="I125" i="18"/>
  <c r="J125" i="18" s="1"/>
  <c r="L125" i="18" s="1"/>
  <c r="N125" i="18" s="1"/>
  <c r="R125" i="18" s="1"/>
  <c r="I103" i="18"/>
  <c r="J103" i="18" s="1"/>
  <c r="L103" i="18" s="1"/>
  <c r="N103" i="18" s="1"/>
  <c r="R103" i="18" s="1"/>
  <c r="I67" i="18"/>
  <c r="J67" i="18" s="1"/>
  <c r="L67" i="18" s="1"/>
  <c r="N67" i="18" s="1"/>
  <c r="R67" i="18" s="1"/>
  <c r="I68" i="18"/>
  <c r="J68" i="18" s="1"/>
  <c r="L68" i="18" s="1"/>
  <c r="N68" i="18" s="1"/>
  <c r="R68" i="18" s="1"/>
  <c r="I198" i="18"/>
  <c r="J198" i="18" s="1"/>
  <c r="L198" i="18" s="1"/>
  <c r="N198" i="18" s="1"/>
  <c r="R198" i="18" s="1"/>
  <c r="I59" i="18"/>
  <c r="J59" i="18" s="1"/>
  <c r="L59" i="18" s="1"/>
  <c r="N59" i="18" s="1"/>
  <c r="R59" i="18" s="1"/>
  <c r="I106" i="18"/>
  <c r="J106" i="18" s="1"/>
  <c r="L106" i="18" s="1"/>
  <c r="N106" i="18" s="1"/>
  <c r="R106" i="18" s="1"/>
  <c r="I78" i="18"/>
  <c r="J78" i="18" s="1"/>
  <c r="L78" i="18" s="1"/>
  <c r="N78" i="18" s="1"/>
  <c r="R78" i="18" s="1"/>
  <c r="I22" i="18"/>
  <c r="J22" i="18" s="1"/>
  <c r="L22" i="18" s="1"/>
  <c r="N22" i="18" s="1"/>
  <c r="R22" i="18" s="1"/>
  <c r="I210" i="18"/>
  <c r="J210" i="18" s="1"/>
  <c r="L210" i="18" s="1"/>
  <c r="N210" i="18" s="1"/>
  <c r="R210" i="18" s="1"/>
  <c r="I129" i="18"/>
  <c r="J129" i="18" s="1"/>
  <c r="L129" i="18" s="1"/>
  <c r="N129" i="18" s="1"/>
  <c r="R129" i="18" s="1"/>
  <c r="I151" i="18"/>
  <c r="J151" i="18" s="1"/>
  <c r="L151" i="18" s="1"/>
  <c r="N151" i="18" s="1"/>
  <c r="R151" i="18" s="1"/>
  <c r="I118" i="18"/>
  <c r="J118" i="18" s="1"/>
  <c r="L118" i="18" s="1"/>
  <c r="N118" i="18" s="1"/>
  <c r="R118" i="18" s="1"/>
  <c r="I175" i="18"/>
  <c r="J175" i="18" s="1"/>
  <c r="L175" i="18" s="1"/>
  <c r="N175" i="18" s="1"/>
  <c r="R175" i="18" s="1"/>
  <c r="I49" i="18"/>
  <c r="J49" i="18" s="1"/>
  <c r="L49" i="18" s="1"/>
  <c r="N49" i="18" s="1"/>
  <c r="R49" i="18" s="1"/>
  <c r="I112" i="18"/>
  <c r="J112" i="18" s="1"/>
  <c r="L112" i="18" s="1"/>
  <c r="N112" i="18" s="1"/>
  <c r="R112" i="18" s="1"/>
  <c r="I43" i="18"/>
  <c r="J43" i="18" s="1"/>
  <c r="L43" i="18" s="1"/>
  <c r="N43" i="18" s="1"/>
  <c r="R43" i="18" s="1"/>
  <c r="I111" i="18"/>
  <c r="J111" i="18" s="1"/>
  <c r="L111" i="18" s="1"/>
  <c r="N111" i="18" s="1"/>
  <c r="R111" i="18" s="1"/>
  <c r="I207" i="18"/>
  <c r="J207" i="18" s="1"/>
  <c r="L207" i="18" s="1"/>
  <c r="N207" i="18" s="1"/>
  <c r="R207" i="18" s="1"/>
  <c r="I180" i="18"/>
  <c r="J180" i="18" s="1"/>
  <c r="L180" i="18" s="1"/>
  <c r="N180" i="18" s="1"/>
  <c r="R180" i="18" s="1"/>
  <c r="I131" i="18"/>
  <c r="J131" i="18" s="1"/>
  <c r="L131" i="18" s="1"/>
  <c r="N131" i="18" s="1"/>
  <c r="R131" i="18" s="1"/>
  <c r="I35" i="18"/>
  <c r="J35" i="18" s="1"/>
  <c r="L35" i="18" s="1"/>
  <c r="N35" i="18" s="1"/>
  <c r="R35" i="18" s="1"/>
  <c r="F14" i="29"/>
  <c r="I20" i="18"/>
  <c r="J20" i="18" s="1"/>
  <c r="I96" i="18"/>
  <c r="J96" i="18" s="1"/>
  <c r="L96" i="18" s="1"/>
  <c r="N96" i="18" s="1"/>
  <c r="R96" i="18" s="1"/>
  <c r="I29" i="18"/>
  <c r="J29" i="18" s="1"/>
  <c r="L29" i="18" s="1"/>
  <c r="N29" i="18" s="1"/>
  <c r="R29" i="18" s="1"/>
  <c r="I80" i="18"/>
  <c r="J80" i="18" s="1"/>
  <c r="L80" i="18" s="1"/>
  <c r="N80" i="18" s="1"/>
  <c r="R80" i="18" s="1"/>
  <c r="I156" i="18"/>
  <c r="J156" i="18" s="1"/>
  <c r="L156" i="18" s="1"/>
  <c r="N156" i="18" s="1"/>
  <c r="R156" i="18" s="1"/>
  <c r="I133" i="18"/>
  <c r="J133" i="18" s="1"/>
  <c r="L133" i="18" s="1"/>
  <c r="N133" i="18" s="1"/>
  <c r="R133" i="18" s="1"/>
  <c r="I44" i="18"/>
  <c r="J44" i="18" s="1"/>
  <c r="L44" i="18" s="1"/>
  <c r="N44" i="18" s="1"/>
  <c r="R44" i="18" s="1"/>
  <c r="I195" i="18"/>
  <c r="J195" i="18" s="1"/>
  <c r="L195" i="18" s="1"/>
  <c r="N195" i="18" s="1"/>
  <c r="R195" i="18" s="1"/>
  <c r="I158" i="18"/>
  <c r="J158" i="18" s="1"/>
  <c r="L158" i="18" s="1"/>
  <c r="N158" i="18" s="1"/>
  <c r="R158" i="18" s="1"/>
  <c r="I127" i="18"/>
  <c r="J127" i="18" s="1"/>
  <c r="L127" i="18" s="1"/>
  <c r="N127" i="18" s="1"/>
  <c r="R127" i="18" s="1"/>
  <c r="I184" i="18"/>
  <c r="J184" i="18" s="1"/>
  <c r="L184" i="18" s="1"/>
  <c r="N184" i="18" s="1"/>
  <c r="R184" i="18" s="1"/>
  <c r="I201" i="18"/>
  <c r="J201" i="18" s="1"/>
  <c r="L201" i="18" s="1"/>
  <c r="N201" i="18" s="1"/>
  <c r="R201" i="18" s="1"/>
  <c r="I32" i="18"/>
  <c r="J32" i="18" s="1"/>
  <c r="L32" i="18" s="1"/>
  <c r="N32" i="18" s="1"/>
  <c r="R32" i="18" s="1"/>
  <c r="I149" i="18"/>
  <c r="J149" i="18" s="1"/>
  <c r="L149" i="18" s="1"/>
  <c r="N149" i="18" s="1"/>
  <c r="R149" i="18" s="1"/>
  <c r="I100" i="18"/>
  <c r="J100" i="18" s="1"/>
  <c r="L100" i="18" s="1"/>
  <c r="N100" i="18" s="1"/>
  <c r="R100" i="18" s="1"/>
  <c r="I26" i="18"/>
  <c r="J26" i="18" s="1"/>
  <c r="L26" i="18" s="1"/>
  <c r="N26" i="18" s="1"/>
  <c r="R26" i="18" s="1"/>
  <c r="I177" i="18"/>
  <c r="J177" i="18" s="1"/>
  <c r="L177" i="18" s="1"/>
  <c r="N177" i="18" s="1"/>
  <c r="R177" i="18" s="1"/>
  <c r="I138" i="18"/>
  <c r="J138" i="18" s="1"/>
  <c r="L138" i="18" s="1"/>
  <c r="N138" i="18" s="1"/>
  <c r="R138" i="18" s="1"/>
  <c r="I93" i="18"/>
  <c r="J93" i="18" s="1"/>
  <c r="L93" i="18" s="1"/>
  <c r="N93" i="18" s="1"/>
  <c r="R93" i="18" s="1"/>
  <c r="I50" i="18"/>
  <c r="J50" i="18" s="1"/>
  <c r="L50" i="18" s="1"/>
  <c r="N50" i="18" s="1"/>
  <c r="R50" i="18" s="1"/>
  <c r="I190" i="18"/>
  <c r="J190" i="18" s="1"/>
  <c r="L190" i="18" s="1"/>
  <c r="N190" i="18" s="1"/>
  <c r="R190" i="18" s="1"/>
  <c r="I38" i="18"/>
  <c r="J38" i="18" s="1"/>
  <c r="L38" i="18" s="1"/>
  <c r="N38" i="18" s="1"/>
  <c r="R38" i="18" s="1"/>
  <c r="I70" i="18"/>
  <c r="J70" i="18" s="1"/>
  <c r="L70" i="18" s="1"/>
  <c r="N70" i="18" s="1"/>
  <c r="R70" i="18" s="1"/>
  <c r="I42" i="18"/>
  <c r="J42" i="18" s="1"/>
  <c r="L42" i="18" s="1"/>
  <c r="N42" i="18" s="1"/>
  <c r="R42" i="18" s="1"/>
  <c r="I135" i="18"/>
  <c r="J135" i="18" s="1"/>
  <c r="L135" i="18" s="1"/>
  <c r="N135" i="18" s="1"/>
  <c r="R135" i="18" s="1"/>
  <c r="I202" i="18"/>
  <c r="J202" i="18" s="1"/>
  <c r="L202" i="18" s="1"/>
  <c r="N202" i="18" s="1"/>
  <c r="R202" i="18" s="1"/>
  <c r="I147" i="18"/>
  <c r="J147" i="18" s="1"/>
  <c r="L147" i="18" s="1"/>
  <c r="N147" i="18" s="1"/>
  <c r="R147" i="18" s="1"/>
  <c r="I86" i="18"/>
  <c r="J86" i="18" s="1"/>
  <c r="L86" i="18" s="1"/>
  <c r="N86" i="18" s="1"/>
  <c r="R86" i="18" s="1"/>
  <c r="I130" i="18"/>
  <c r="J130" i="18" s="1"/>
  <c r="L130" i="18" s="1"/>
  <c r="N130" i="18" s="1"/>
  <c r="R130" i="18" s="1"/>
  <c r="I171" i="18"/>
  <c r="J171" i="18" s="1"/>
  <c r="L171" i="18" s="1"/>
  <c r="N171" i="18" s="1"/>
  <c r="R171" i="18" s="1"/>
  <c r="I162" i="18"/>
  <c r="J162" i="18" s="1"/>
  <c r="L162" i="18" s="1"/>
  <c r="N162" i="18" s="1"/>
  <c r="R162" i="18" s="1"/>
  <c r="I160" i="18"/>
  <c r="J160" i="18" s="1"/>
  <c r="L160" i="18" s="1"/>
  <c r="N160" i="18" s="1"/>
  <c r="R160" i="18" s="1"/>
  <c r="I114" i="18"/>
  <c r="J114" i="18" s="1"/>
  <c r="L114" i="18" s="1"/>
  <c r="N114" i="18" s="1"/>
  <c r="R114" i="18" s="1"/>
  <c r="I194" i="18"/>
  <c r="J194" i="18" s="1"/>
  <c r="L194" i="18" s="1"/>
  <c r="N194" i="18" s="1"/>
  <c r="R194" i="18" s="1"/>
  <c r="I25" i="18"/>
  <c r="J25" i="18" s="1"/>
  <c r="L25" i="18" s="1"/>
  <c r="N25" i="18" s="1"/>
  <c r="R25" i="18" s="1"/>
  <c r="I164" i="18"/>
  <c r="J164" i="18" s="1"/>
  <c r="L164" i="18" s="1"/>
  <c r="N164" i="18" s="1"/>
  <c r="R164" i="18" s="1"/>
  <c r="I155" i="18"/>
  <c r="J155" i="18" s="1"/>
  <c r="L155" i="18" s="1"/>
  <c r="N155" i="18" s="1"/>
  <c r="R155" i="18" s="1"/>
  <c r="I116" i="18"/>
  <c r="J116" i="18" s="1"/>
  <c r="L116" i="18" s="1"/>
  <c r="N116" i="18" s="1"/>
  <c r="R116" i="18" s="1"/>
  <c r="I107" i="18"/>
  <c r="J107" i="18" s="1"/>
  <c r="L107" i="18" s="1"/>
  <c r="N107" i="18" s="1"/>
  <c r="R107" i="18" s="1"/>
  <c r="I90" i="18"/>
  <c r="J90" i="18" s="1"/>
  <c r="L90" i="18" s="1"/>
  <c r="N90" i="18" s="1"/>
  <c r="R90" i="18" s="1"/>
  <c r="I153" i="18"/>
  <c r="J153" i="18" s="1"/>
  <c r="L153" i="18" s="1"/>
  <c r="N153" i="18" s="1"/>
  <c r="R153" i="18" s="1"/>
  <c r="I74" i="18"/>
  <c r="J74" i="18" s="1"/>
  <c r="L74" i="18" s="1"/>
  <c r="N74" i="18" s="1"/>
  <c r="R74" i="18" s="1"/>
  <c r="I23" i="18"/>
  <c r="J23" i="18" s="1"/>
  <c r="L23" i="18" s="1"/>
  <c r="N23" i="18" s="1"/>
  <c r="R23" i="18" s="1"/>
  <c r="I51" i="18"/>
  <c r="J51" i="18" s="1"/>
  <c r="L51" i="18" s="1"/>
  <c r="N51" i="18" s="1"/>
  <c r="R51" i="18" s="1"/>
  <c r="I34" i="18"/>
  <c r="J34" i="18" s="1"/>
  <c r="L34" i="18" s="1"/>
  <c r="N34" i="18" s="1"/>
  <c r="R34" i="18" s="1"/>
  <c r="I172" i="18"/>
  <c r="J172" i="18" s="1"/>
  <c r="L172" i="18" s="1"/>
  <c r="N172" i="18" s="1"/>
  <c r="R172" i="18" s="1"/>
  <c r="I72" i="18"/>
  <c r="J72" i="18" s="1"/>
  <c r="L72" i="18" s="1"/>
  <c r="N72" i="18" s="1"/>
  <c r="R72" i="18" s="1"/>
  <c r="I77" i="18"/>
  <c r="J77" i="18" s="1"/>
  <c r="L77" i="18" s="1"/>
  <c r="N77" i="18" s="1"/>
  <c r="R77" i="18" s="1"/>
  <c r="I79" i="18"/>
  <c r="J79" i="18" s="1"/>
  <c r="L79" i="18" s="1"/>
  <c r="N79" i="18" s="1"/>
  <c r="R79" i="18" s="1"/>
  <c r="I167" i="18"/>
  <c r="J167" i="18" s="1"/>
  <c r="L167" i="18" s="1"/>
  <c r="N167" i="18" s="1"/>
  <c r="R167" i="18" s="1"/>
  <c r="I46" i="18"/>
  <c r="J46" i="18" s="1"/>
  <c r="L46" i="18" s="1"/>
  <c r="N46" i="18" s="1"/>
  <c r="R46" i="18" s="1"/>
  <c r="I99" i="18"/>
  <c r="J99" i="18" s="1"/>
  <c r="L99" i="18" s="1"/>
  <c r="N99" i="18" s="1"/>
  <c r="R99" i="18" s="1"/>
  <c r="I98" i="18"/>
  <c r="J98" i="18" s="1"/>
  <c r="L98" i="18" s="1"/>
  <c r="N98" i="18" s="1"/>
  <c r="R98" i="18" s="1"/>
  <c r="I176" i="18"/>
  <c r="J176" i="18" s="1"/>
  <c r="L176" i="18" s="1"/>
  <c r="N176" i="18" s="1"/>
  <c r="R176" i="18" s="1"/>
  <c r="I24" i="18"/>
  <c r="J24" i="18" s="1"/>
  <c r="L24" i="18" s="1"/>
  <c r="N24" i="18" s="1"/>
  <c r="R24" i="18" s="1"/>
  <c r="I145" i="18"/>
  <c r="J145" i="18" s="1"/>
  <c r="L145" i="18" s="1"/>
  <c r="N145" i="18" s="1"/>
  <c r="R145" i="18" s="1"/>
  <c r="I108" i="18"/>
  <c r="J108" i="18" s="1"/>
  <c r="L108" i="18" s="1"/>
  <c r="N108" i="18" s="1"/>
  <c r="R108" i="18" s="1"/>
  <c r="I140" i="18"/>
  <c r="J140" i="18" s="1"/>
  <c r="L140" i="18" s="1"/>
  <c r="N140" i="18" s="1"/>
  <c r="R140" i="18" s="1"/>
  <c r="I193" i="18"/>
  <c r="J193" i="18" s="1"/>
  <c r="L193" i="18" s="1"/>
  <c r="N193" i="18" s="1"/>
  <c r="R193" i="18" s="1"/>
  <c r="I95" i="18"/>
  <c r="J95" i="18" s="1"/>
  <c r="L95" i="18" s="1"/>
  <c r="N95" i="18" s="1"/>
  <c r="R95" i="18" s="1"/>
  <c r="I48" i="18"/>
  <c r="J48" i="18" s="1"/>
  <c r="L48" i="18" s="1"/>
  <c r="N48" i="18" s="1"/>
  <c r="R48" i="18" s="1"/>
  <c r="I186" i="18"/>
  <c r="J186" i="18" s="1"/>
  <c r="L186" i="18" s="1"/>
  <c r="N186" i="18" s="1"/>
  <c r="R186" i="18" s="1"/>
  <c r="I205" i="18"/>
  <c r="J205" i="18" s="1"/>
  <c r="L205" i="18" s="1"/>
  <c r="N205" i="18" s="1"/>
  <c r="R205" i="18" s="1"/>
  <c r="I187" i="18"/>
  <c r="J187" i="18" s="1"/>
  <c r="L187" i="18" s="1"/>
  <c r="N187" i="18" s="1"/>
  <c r="R187" i="18" s="1"/>
  <c r="I204" i="18"/>
  <c r="J204" i="18" s="1"/>
  <c r="L204" i="18" s="1"/>
  <c r="N204" i="18" s="1"/>
  <c r="R204" i="18" s="1"/>
  <c r="I206" i="18"/>
  <c r="J206" i="18" s="1"/>
  <c r="L206" i="18" s="1"/>
  <c r="N206" i="18" s="1"/>
  <c r="R206" i="18" s="1"/>
  <c r="I27" i="18"/>
  <c r="J27" i="18" s="1"/>
  <c r="L27" i="18" s="1"/>
  <c r="N27" i="18" s="1"/>
  <c r="R27" i="18" s="1"/>
  <c r="I134" i="18"/>
  <c r="J134" i="18" s="1"/>
  <c r="L134" i="18" s="1"/>
  <c r="N134" i="18" s="1"/>
  <c r="R134" i="18" s="1"/>
  <c r="I92" i="18"/>
  <c r="J92" i="18" s="1"/>
  <c r="L92" i="18" s="1"/>
  <c r="N92" i="18" s="1"/>
  <c r="R92" i="18" s="1"/>
  <c r="I47" i="18"/>
  <c r="J47" i="18" s="1"/>
  <c r="L47" i="18" s="1"/>
  <c r="N47" i="18" s="1"/>
  <c r="R47" i="18" s="1"/>
  <c r="I88" i="18"/>
  <c r="J88" i="18" s="1"/>
  <c r="L88" i="18" s="1"/>
  <c r="N88" i="18" s="1"/>
  <c r="R88" i="18" s="1"/>
  <c r="I122" i="18"/>
  <c r="J122" i="18" s="1"/>
  <c r="L122" i="18" s="1"/>
  <c r="N122" i="18" s="1"/>
  <c r="R122" i="18" s="1"/>
  <c r="I120" i="18"/>
  <c r="J120" i="18" s="1"/>
  <c r="L120" i="18" s="1"/>
  <c r="N120" i="18" s="1"/>
  <c r="R120" i="18" s="1"/>
  <c r="I161" i="18"/>
  <c r="J161" i="18" s="1"/>
  <c r="L161" i="18" s="1"/>
  <c r="N161" i="18" s="1"/>
  <c r="R161" i="18" s="1"/>
  <c r="I65" i="18"/>
  <c r="J65" i="18" s="1"/>
  <c r="L65" i="18" s="1"/>
  <c r="N65" i="18" s="1"/>
  <c r="R65" i="18" s="1"/>
  <c r="I117" i="18"/>
  <c r="J117" i="18" s="1"/>
  <c r="L117" i="18" s="1"/>
  <c r="N117" i="18" s="1"/>
  <c r="R117" i="18" s="1"/>
  <c r="I36" i="18"/>
  <c r="J36" i="18" s="1"/>
  <c r="L36" i="18" s="1"/>
  <c r="N36" i="18" s="1"/>
  <c r="R36" i="18" s="1"/>
  <c r="I141" i="18"/>
  <c r="J141" i="18" s="1"/>
  <c r="L141" i="18" s="1"/>
  <c r="N141" i="18" s="1"/>
  <c r="R141" i="18" s="1"/>
  <c r="I211" i="18"/>
  <c r="J211" i="18" s="1"/>
  <c r="L211" i="18" s="1"/>
  <c r="N211" i="18" s="1"/>
  <c r="R211" i="18" s="1"/>
  <c r="I119" i="18"/>
  <c r="J119" i="18" s="1"/>
  <c r="L119" i="18" s="1"/>
  <c r="N119" i="18" s="1"/>
  <c r="R119" i="18" s="1"/>
  <c r="I82" i="18"/>
  <c r="J82" i="18" s="1"/>
  <c r="L82" i="18" s="1"/>
  <c r="N82" i="18" s="1"/>
  <c r="R82" i="18" s="1"/>
  <c r="I166" i="18"/>
  <c r="J166" i="18" s="1"/>
  <c r="L166" i="18" s="1"/>
  <c r="N166" i="18" s="1"/>
  <c r="R166" i="18" s="1"/>
  <c r="I163" i="18"/>
  <c r="J163" i="18" s="1"/>
  <c r="L163" i="18" s="1"/>
  <c r="N163" i="18" s="1"/>
  <c r="R163" i="18" s="1"/>
  <c r="I159" i="18"/>
  <c r="J159" i="18" s="1"/>
  <c r="L159" i="18" s="1"/>
  <c r="N159" i="18" s="1"/>
  <c r="R159" i="18" s="1"/>
  <c r="I54" i="18"/>
  <c r="J54" i="18" s="1"/>
  <c r="L54" i="18" s="1"/>
  <c r="N54" i="18" s="1"/>
  <c r="R54" i="18" s="1"/>
  <c r="I85" i="18"/>
  <c r="J85" i="18" s="1"/>
  <c r="L85" i="18" s="1"/>
  <c r="N85" i="18" s="1"/>
  <c r="R85" i="18" s="1"/>
  <c r="I57" i="18"/>
  <c r="J57" i="18" s="1"/>
  <c r="L57" i="18" s="1"/>
  <c r="N57" i="18" s="1"/>
  <c r="R57" i="18" s="1"/>
  <c r="J212" i="18" l="1"/>
  <c r="J14" i="18"/>
  <c r="L20" i="18"/>
  <c r="L56" i="18"/>
  <c r="J13" i="18"/>
  <c r="L212" i="18" l="1"/>
  <c r="L14" i="18"/>
  <c r="N20" i="18"/>
  <c r="L13" i="18"/>
  <c r="N56" i="18"/>
  <c r="N13" i="18" l="1"/>
  <c r="R56" i="18"/>
  <c r="R13" i="18" s="1"/>
  <c r="R20" i="18"/>
  <c r="N14" i="18"/>
  <c r="R212" i="18" l="1"/>
  <c r="R14" i="18"/>
</calcChain>
</file>

<file path=xl/comments1.xml><?xml version="1.0" encoding="utf-8"?>
<comments xmlns="http://schemas.openxmlformats.org/spreadsheetml/2006/main">
  <authors>
    <author>rlp</author>
  </authors>
  <commentList>
    <comment ref="J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<sst xmlns="http://schemas.openxmlformats.org/spreadsheetml/2006/main" count="421" uniqueCount="105">
  <si>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</si>
  <si>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</si>
  <si>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</si>
  <si>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</si>
  <si>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</si>
  <si>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</si>
  <si>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</si>
  <si>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</si>
  <si>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</si>
  <si>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</si>
  <si>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</si>
  <si>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</si>
  <si>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</si>
  <si>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</si>
  <si>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</si>
  <si>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</si>
  <si>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</si>
  <si>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</si>
  <si>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</si>
  <si>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</si>
  <si>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</si>
  <si>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</si>
  <si>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</si>
  <si>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</si>
  <si>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</si>
  <si>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</si>
  <si>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</si>
  <si>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</si>
  <si>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</si>
  <si>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</si>
  <si>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</si>
  <si>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</si>
  <si>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</si>
  <si>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</si>
  <si>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</si>
  <si>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</si>
  <si>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</si>
  <si>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</si>
  <si>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</si>
  <si>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</si>
  <si>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</si>
  <si>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</si>
  <si>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</si>
  <si>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</si>
  <si>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</si>
  <si>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</si>
  <si>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</si>
  <si>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</si>
  <si>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</si>
  <si>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</si>
  <si>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</si>
  <si>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</si>
  <si>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</si>
  <si>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</si>
  <si>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</si>
  <si>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</si>
  <si>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</si>
  <si>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</si>
  <si>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</si>
  <si>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</si>
  <si>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</si>
  <si>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</si>
  <si>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</si>
  <si>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</si>
  <si>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</si>
  <si>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</si>
  <si>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</si>
  <si>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</si>
  <si>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</si>
  <si>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</si>
  <si>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</si>
  <si>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</si>
  <si>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</si>
  <si>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</si>
  <si>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</si>
  <si>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</si>
  <si>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</si>
  <si>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</si>
  <si>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</si>
  <si>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</si>
  <si>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</si>
  <si>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</si>
  <si>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</si>
  <si>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</si>
  <si>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</si>
  <si>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</si>
  <si>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</si>
  <si>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</si>
  <si>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</si>
  <si>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</si>
  <si>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</si>
  <si>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</si>
  <si>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</si>
  <si>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</si>
  <si>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</si>
  <si>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(H)</t>
  </si>
  <si>
    <t xml:space="preserve"> (I) = (G) + (H)</t>
  </si>
  <si>
    <t>Total NITS Surcharge / Refun</t>
  </si>
  <si>
    <t>AEPTCo Formula Rate -- FERC Docket ER18-195</t>
  </si>
  <si>
    <t>2020 True Up Including Interest</t>
  </si>
  <si>
    <r>
      <t>2020 True-Up
(</t>
    </r>
    <r>
      <rPr>
        <sz val="10"/>
        <rFont val="Arial"/>
        <family val="2"/>
      </rPr>
      <t>w/o Interest)</t>
    </r>
  </si>
  <si>
    <t>2020 Interest</t>
  </si>
  <si>
    <t>Total 2020
True-Up Surcharge / (Refund)</t>
  </si>
  <si>
    <t>2019 Tax True Up</t>
  </si>
  <si>
    <t>2017 ROE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</si>
</sst>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0" fontId="0" fillId="0" borderId="27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8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38" xfId="0" pivotButton="1" applyBorder="1" applyProtection="1"/>
    <xf numFmtId="0" fontId="0" fillId="0" borderId="40" xfId="0" applyBorder="1" applyProtection="1"/>
    <xf numFmtId="17" fontId="0" fillId="0" borderId="38" xfId="0" applyNumberFormat="1" applyBorder="1" applyProtection="1"/>
    <xf numFmtId="17" fontId="0" fillId="0" borderId="41" xfId="0" applyNumberFormat="1" applyBorder="1" applyProtection="1"/>
    <xf numFmtId="17" fontId="0" fillId="0" borderId="42" xfId="0" applyNumberFormat="1" applyBorder="1" applyProtection="1"/>
    <xf numFmtId="166" fontId="0" fillId="0" borderId="38" xfId="0" applyNumberForma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0" fontId="0" fillId="0" borderId="45" xfId="0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quotePrefix="1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4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4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5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4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4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6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left" vertical="center"/>
    </xf>
    <xf numFmtId="0" fontId="4" fillId="0" borderId="23" xfId="0" quotePrefix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5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28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6" borderId="0" xfId="3" applyNumberFormat="1" applyFont="1" applyFill="1" applyBorder="1" applyProtection="1"/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4" fontId="7" fillId="2" borderId="8" xfId="3" applyNumberFormat="1" applyFont="1" applyFill="1" applyBorder="1" applyProtection="1"/>
    <xf numFmtId="14" fontId="7" fillId="6" borderId="8" xfId="3" applyNumberFormat="1" applyFont="1" applyFill="1" applyBorder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7" xfId="0" applyNumberFormat="1" applyBorder="1" applyAlignment="1" applyProtection="1">
      <alignment horizontal="center"/>
    </xf>
    <xf numFmtId="14" fontId="1" fillId="0" borderId="37" xfId="0" applyNumberFormat="1" applyFont="1" applyFill="1" applyBorder="1" applyProtection="1"/>
    <xf numFmtId="14" fontId="7" fillId="2" borderId="37" xfId="0" applyNumberFormat="1" applyFont="1" applyFill="1" applyBorder="1" applyAlignment="1" applyProtection="1">
      <alignment horizontal="left"/>
    </xf>
    <xf numFmtId="0" fontId="0" fillId="0" borderId="37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7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8" xfId="0" applyBorder="1" applyProtection="1"/>
    <xf numFmtId="0" fontId="0" fillId="0" borderId="49" xfId="0" applyBorder="1" applyProtection="1"/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5" xfId="0" applyNumberFormat="1" applyFont="1" applyFill="1" applyBorder="1" applyAlignment="1" applyProtection="1">
      <alignment horizontal="center"/>
    </xf>
    <xf numFmtId="166" fontId="25" fillId="0" borderId="43" xfId="0" applyNumberFormat="1" applyFont="1" applyBorder="1" applyProtection="1"/>
    <xf numFmtId="166" fontId="25" fillId="0" borderId="0" xfId="0" applyNumberFormat="1" applyFont="1" applyProtection="1"/>
    <xf numFmtId="166" fontId="25" fillId="0" borderId="44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41" xfId="0" applyNumberFormat="1" applyFont="1" applyBorder="1" applyProtection="1"/>
    <xf numFmtId="166" fontId="25" fillId="0" borderId="42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177040" refreshedDate="44340.708613657407" createdVersion="6" refreshedVersion="6" recordCount="192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0-12-02T00:00:00" count="132"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10-11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10-12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10-07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10-08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10-09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10-10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0-02-05T00:00:00" maxDate="2021-01-07T00:00:00"/>
    </cacheField>
    <cacheField name="Payment Received*" numFmtId="14">
      <sharedItems containsSemiMixedTypes="0" containsNonDate="0" containsDate="1" containsString="0" minDate="2020-02-24T00:00:00" maxDate="2021-01-26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3873"/>
    </cacheField>
    <cacheField name="Projected Rate (as Invoiced)" numFmtId="164">
      <sharedItems containsSemiMixedTypes="0" containsString="0" containsNumber="1" minValue="10.251577535152041" maxValue="10.251577535152041"/>
    </cacheField>
    <cacheField name="Actual True-Up Rate" numFmtId="164">
      <sharedItems containsSemiMixedTypes="0" containsString="0" containsNumber="1" minValue="12.037191737714332" maxValue="12.037191737714332"/>
    </cacheField>
    <cacheField name="True-Up Charge" numFmtId="164">
      <sharedItems containsSemiMixedTypes="0" containsString="0" containsNumber="1" minValue="12.037191737714332" maxValue="46620.043600167606"/>
    </cacheField>
    <cacheField name="Invoiced*** Charge (proj.)" numFmtId="164">
      <sharedItems containsSemiMixedTypes="0" containsString="0" containsNumber="1" minValue="10.251577535152041" maxValue="39704.359793643853"/>
    </cacheField>
    <cacheField name="True-Up w/o Interest" numFmtId="164">
      <sharedItems containsSemiMixedTypes="0" containsString="0" containsNumber="1" minValue="1.7856142025622912" maxValue="6915.6838065237534"/>
    </cacheField>
    <cacheField name="Interest" numFmtId="164">
      <sharedItems containsSemiMixedTypes="0" containsString="0" containsNumber="1" minValue="6.0179134826638073E-2" maxValue="233.07378918356926"/>
    </cacheField>
    <cacheField name="2020 True Up Including Interest" numFmtId="164">
      <sharedItems containsSemiMixedTypes="0" containsString="0" containsNumber="1" minValue="1.8457933373889293" maxValue="7148.7575957073223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1.8457933373889293" maxValue="7148.75759570732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d v="2020-02-05T00:00:00"/>
    <d v="2020-02-24T00:00:00"/>
    <x v="0"/>
    <n v="9"/>
    <n v="2580"/>
    <n v="10.251577535152041"/>
    <n v="12.037191737714332"/>
    <n v="31055.954683302978"/>
    <n v="26449.070040692266"/>
    <n v="4606.884642610712"/>
    <n v="155.26216785272624"/>
    <n v="4762.1468104634387"/>
    <n v="0"/>
    <n v="0"/>
    <n v="0"/>
    <n v="4762.1468104634387"/>
  </r>
  <r>
    <x v="1"/>
    <d v="2020-03-04T00:00:00"/>
    <d v="2020-03-24T00:00:00"/>
    <x v="0"/>
    <n v="9"/>
    <n v="2548"/>
    <n v="10.251577535152041"/>
    <n v="12.037191737714332"/>
    <n v="30670.764547696119"/>
    <n v="26121.019559567401"/>
    <n v="4549.7449881287175"/>
    <n v="153.3364355382738"/>
    <n v="4703.0814236669912"/>
    <n v="0"/>
    <n v="0"/>
    <n v="0"/>
    <n v="4703.0814236669912"/>
  </r>
  <r>
    <x v="2"/>
    <d v="2020-04-03T00:00:00"/>
    <d v="2020-04-24T00:00:00"/>
    <x v="0"/>
    <n v="9"/>
    <n v="2505"/>
    <n v="10.251577535152041"/>
    <n v="12.037191737714332"/>
    <n v="30153.165302974401"/>
    <n v="25680.201725555864"/>
    <n v="4472.9635774185372"/>
    <n v="150.74873274072837"/>
    <n v="4623.7123101592651"/>
    <n v="0"/>
    <n v="0"/>
    <n v="0"/>
    <n v="4623.7123101592651"/>
  </r>
  <r>
    <x v="3"/>
    <d v="2020-05-05T00:00:00"/>
    <d v="2020-05-25T00:00:00"/>
    <x v="0"/>
    <n v="9"/>
    <n v="2636"/>
    <n v="10.251577535152041"/>
    <n v="12.037191737714332"/>
    <n v="31730.037420614979"/>
    <n v="27023.158382660778"/>
    <n v="4706.8790379542006"/>
    <n v="158.63219940301798"/>
    <n v="4865.5112373572183"/>
    <n v="0"/>
    <n v="0"/>
    <n v="0"/>
    <n v="4865.5112373572183"/>
  </r>
  <r>
    <x v="4"/>
    <d v="2020-06-03T00:00:00"/>
    <d v="2020-06-24T00:00:00"/>
    <x v="0"/>
    <n v="9"/>
    <n v="2911"/>
    <n v="10.251577535152041"/>
    <n v="12.037191737714332"/>
    <n v="35040.265148486418"/>
    <n v="29842.34220482759"/>
    <n v="5197.9229436588284"/>
    <n v="175.18146148034344"/>
    <n v="5373.1044051391718"/>
    <n v="0"/>
    <n v="0"/>
    <n v="0"/>
    <n v="5373.1044051391718"/>
  </r>
  <r>
    <x v="5"/>
    <d v="2020-07-03T00:00:00"/>
    <d v="2020-07-24T00:00:00"/>
    <x v="0"/>
    <n v="9"/>
    <n v="3504"/>
    <n v="10.251577535152041"/>
    <n v="12.037191737714332"/>
    <n v="42178.319848951018"/>
    <n v="35921.527683172753"/>
    <n v="6256.7921657782645"/>
    <n v="210.86768843253978"/>
    <n v="6467.659854210804"/>
    <n v="0"/>
    <n v="0"/>
    <n v="0"/>
    <n v="6467.659854210804"/>
  </r>
  <r>
    <x v="6"/>
    <d v="2020-08-05T00:00:00"/>
    <d v="2020-08-24T00:00:00"/>
    <x v="0"/>
    <n v="9"/>
    <n v="3724"/>
    <n v="10.251577535152041"/>
    <n v="12.037191737714332"/>
    <n v="44826.502031248172"/>
    <n v="38176.874740906198"/>
    <n v="6649.627290341974"/>
    <n v="224.10709809440016"/>
    <n v="6873.7343884363745"/>
    <n v="0"/>
    <n v="0"/>
    <n v="0"/>
    <n v="6873.7343884363745"/>
  </r>
  <r>
    <x v="7"/>
    <d v="2020-09-03T00:00:00"/>
    <d v="2020-09-24T00:00:00"/>
    <x v="0"/>
    <n v="9"/>
    <n v="3873"/>
    <n v="10.251577535152041"/>
    <n v="12.037191737714332"/>
    <n v="46620.043600167606"/>
    <n v="39704.359793643853"/>
    <n v="6915.6838065237534"/>
    <n v="233.07378918356926"/>
    <n v="7148.7575957073223"/>
    <n v="0"/>
    <n v="0"/>
    <n v="0"/>
    <n v="7148.7575957073223"/>
  </r>
  <r>
    <x v="8"/>
    <d v="2020-10-05T00:00:00"/>
    <d v="2020-10-26T00:00:00"/>
    <x v="0"/>
    <n v="9"/>
    <n v="3349"/>
    <n v="10.251577535152041"/>
    <n v="12.037191737714332"/>
    <n v="40312.555129605302"/>
    <n v="34332.533165224188"/>
    <n v="5980.0219643811142"/>
    <n v="201.53992253441092"/>
    <n v="6181.5618869155251"/>
    <n v="0"/>
    <n v="0"/>
    <n v="0"/>
    <n v="6181.5618869155251"/>
  </r>
  <r>
    <x v="9"/>
    <d v="2020-11-04T00:00:00"/>
    <d v="2020-11-24T00:00:00"/>
    <x v="0"/>
    <n v="9"/>
    <n v="2789"/>
    <n v="10.251577535152041"/>
    <n v="12.037191737714332"/>
    <n v="33571.72775648527"/>
    <n v="28591.649745539042"/>
    <n v="4980.0780109462285"/>
    <n v="167.83960703149359"/>
    <n v="5147.9176179777223"/>
    <n v="0"/>
    <n v="0"/>
    <n v="0"/>
    <n v="5147.9176179777223"/>
  </r>
  <r>
    <x v="10"/>
    <d v="2020-12-03T00:00:00"/>
    <d v="2020-12-24T00:00:00"/>
    <x v="0"/>
    <n v="9"/>
    <n v="2382"/>
    <n v="10.251577535152041"/>
    <n v="12.037191737714332"/>
    <n v="28672.590719235541"/>
    <n v="24419.257688732163"/>
    <n v="4253.3330305033778"/>
    <n v="143.34669915705189"/>
    <n v="4396.67972966043"/>
    <n v="0"/>
    <n v="0"/>
    <n v="0"/>
    <n v="4396.67972966043"/>
  </r>
  <r>
    <x v="11"/>
    <d v="2021-01-06T00:00:00"/>
    <d v="2021-01-25T00:00:00"/>
    <x v="0"/>
    <n v="9"/>
    <n v="2513"/>
    <n v="10.251577535152041"/>
    <n v="12.037191737714332"/>
    <n v="30249.462836876119"/>
    <n v="25762.214345837077"/>
    <n v="4487.2484910390413"/>
    <n v="151.23016581934147"/>
    <n v="4638.4786568583831"/>
    <n v="0"/>
    <n v="0"/>
    <n v="0"/>
    <n v="4638.4786568583831"/>
  </r>
  <r>
    <x v="0"/>
    <d v="2020-02-05T00:00:00"/>
    <d v="2020-02-24T00:00:00"/>
    <x v="1"/>
    <n v="9"/>
    <n v="2664"/>
    <n v="10.251577535152041"/>
    <n v="12.037191737714332"/>
    <n v="32067.078789270981"/>
    <n v="27310.202553645038"/>
    <n v="4756.8762356259431"/>
    <n v="160.31721517816382"/>
    <n v="4917.1934508041068"/>
    <n v="0"/>
    <n v="0"/>
    <n v="0"/>
    <n v="4917.1934508041068"/>
  </r>
  <r>
    <x v="1"/>
    <d v="2020-03-04T00:00:00"/>
    <d v="2020-03-24T00:00:00"/>
    <x v="1"/>
    <n v="9"/>
    <n v="2798"/>
    <n v="10.251577535152041"/>
    <n v="12.037191737714332"/>
    <n v="33680.062482124704"/>
    <n v="28683.913943355412"/>
    <n v="4996.1485387692919"/>
    <n v="168.38121924493331"/>
    <n v="5164.5297580142251"/>
    <n v="0"/>
    <n v="0"/>
    <n v="0"/>
    <n v="5164.5297580142251"/>
  </r>
  <r>
    <x v="2"/>
    <d v="2020-04-03T00:00:00"/>
    <d v="2020-04-24T00:00:00"/>
    <x v="1"/>
    <n v="9"/>
    <n v="2422"/>
    <n v="10.251577535152041"/>
    <n v="12.037191737714332"/>
    <n v="29154.078388744114"/>
    <n v="24829.320790138245"/>
    <n v="4324.7575986058691"/>
    <n v="145.75386455011741"/>
    <n v="4470.5114631559863"/>
    <n v="0"/>
    <n v="0"/>
    <n v="0"/>
    <n v="4470.5114631559863"/>
  </r>
  <r>
    <x v="3"/>
    <d v="2020-05-05T00:00:00"/>
    <d v="2020-05-25T00:00:00"/>
    <x v="1"/>
    <n v="9"/>
    <n v="2569"/>
    <n v="10.251577535152041"/>
    <n v="12.037191737714332"/>
    <n v="30923.54557418812"/>
    <n v="26336.302687805593"/>
    <n v="4587.2428863825262"/>
    <n v="154.60019736963321"/>
    <n v="4741.8430837521591"/>
    <n v="0"/>
    <n v="0"/>
    <n v="0"/>
    <n v="4741.8430837521591"/>
  </r>
  <r>
    <x v="4"/>
    <d v="2020-06-03T00:00:00"/>
    <d v="2020-06-24T00:00:00"/>
    <x v="1"/>
    <n v="9"/>
    <n v="2598"/>
    <n v="10.251577535152041"/>
    <n v="12.037191737714332"/>
    <n v="31272.624134581834"/>
    <n v="26633.598436325003"/>
    <n v="4639.0256982568317"/>
    <n v="156.3453922796057"/>
    <n v="4795.3710905364378"/>
    <n v="0"/>
    <n v="0"/>
    <n v="0"/>
    <n v="4795.3710905364378"/>
  </r>
  <r>
    <x v="5"/>
    <d v="2020-07-03T00:00:00"/>
    <d v="2020-07-24T00:00:00"/>
    <x v="1"/>
    <n v="9"/>
    <n v="3167"/>
    <n v="10.251577535152041"/>
    <n v="12.037191737714332"/>
    <n v="38121.786233341292"/>
    <n v="32466.746053826515"/>
    <n v="5655.0401795147773"/>
    <n v="190.58731999596279"/>
    <n v="5845.6274995107397"/>
    <n v="0"/>
    <n v="0"/>
    <n v="0"/>
    <n v="5845.6274995107397"/>
  </r>
  <r>
    <x v="6"/>
    <d v="2020-08-05T00:00:00"/>
    <d v="2020-08-24T00:00:00"/>
    <x v="1"/>
    <n v="9"/>
    <n v="3376"/>
    <n v="10.251577535152041"/>
    <n v="12.037191737714332"/>
    <n v="40637.559306523588"/>
    <n v="34609.325758673287"/>
    <n v="6028.233547850301"/>
    <n v="203.16475917473014"/>
    <n v="6231.3983070250315"/>
    <n v="0"/>
    <n v="0"/>
    <n v="0"/>
    <n v="6231.3983070250315"/>
  </r>
  <r>
    <x v="7"/>
    <d v="2020-09-03T00:00:00"/>
    <d v="2020-09-24T00:00:00"/>
    <x v="1"/>
    <n v="9"/>
    <n v="3459"/>
    <n v="10.251577535152041"/>
    <n v="12.037191737714332"/>
    <n v="41636.646220753879"/>
    <n v="35460.206694090914"/>
    <n v="6176.4395266629654"/>
    <n v="208.15962736534109"/>
    <n v="6384.5991540283067"/>
    <n v="0"/>
    <n v="0"/>
    <n v="0"/>
    <n v="6384.5991540283067"/>
  </r>
  <r>
    <x v="8"/>
    <d v="2020-10-05T00:00:00"/>
    <d v="2020-10-26T00:00:00"/>
    <x v="1"/>
    <n v="9"/>
    <n v="3173"/>
    <n v="10.251577535152041"/>
    <n v="12.037191737714332"/>
    <n v="38194.009383767574"/>
    <n v="32528.255519037426"/>
    <n v="5665.7538647301481"/>
    <n v="190.9483948049226"/>
    <n v="5856.7022595350709"/>
    <n v="0"/>
    <n v="0"/>
    <n v="0"/>
    <n v="5856.7022595350709"/>
  </r>
  <r>
    <x v="9"/>
    <d v="2020-11-04T00:00:00"/>
    <d v="2020-11-24T00:00:00"/>
    <x v="1"/>
    <n v="9"/>
    <n v="2561"/>
    <n v="10.251577535152041"/>
    <n v="12.037191737714332"/>
    <n v="30827.248040286406"/>
    <n v="26254.290067524376"/>
    <n v="4572.9579727620294"/>
    <n v="154.11876429102011"/>
    <n v="4727.0767370530493"/>
    <n v="0"/>
    <n v="0"/>
    <n v="0"/>
    <n v="4727.0767370530493"/>
  </r>
  <r>
    <x v="10"/>
    <d v="2020-12-03T00:00:00"/>
    <d v="2020-12-24T00:00:00"/>
    <x v="1"/>
    <n v="9"/>
    <n v="2357"/>
    <n v="10.251577535152041"/>
    <n v="12.037191737714332"/>
    <n v="28371.660925792679"/>
    <n v="24162.968250353362"/>
    <n v="4208.6926754393171"/>
    <n v="141.84222078638595"/>
    <n v="4350.5348962257031"/>
    <n v="0"/>
    <n v="0"/>
    <n v="0"/>
    <n v="4350.5348962257031"/>
  </r>
  <r>
    <x v="11"/>
    <d v="2021-01-06T00:00:00"/>
    <d v="2021-01-25T00:00:00"/>
    <x v="1"/>
    <n v="9"/>
    <n v="2731"/>
    <n v="10.251577535152041"/>
    <n v="12.037191737714332"/>
    <n v="32873.570635697841"/>
    <n v="27997.058248500223"/>
    <n v="4876.5123871976175"/>
    <n v="164.34921721154856"/>
    <n v="5040.8616044091659"/>
    <n v="0"/>
    <n v="0"/>
    <n v="0"/>
    <n v="5040.8616044091659"/>
  </r>
  <r>
    <x v="0"/>
    <d v="2020-02-05T00:00:00"/>
    <d v="2020-02-24T00:00:00"/>
    <x v="2"/>
    <n v="9"/>
    <n v="145"/>
    <n v="10.251577535152041"/>
    <n v="12.037191737714332"/>
    <n v="1745.3928019685782"/>
    <n v="1486.478742597046"/>
    <n v="258.91405937153218"/>
    <n v="8.7259745498625207"/>
    <n v="267.64003392139472"/>
    <n v="0"/>
    <n v="0"/>
    <n v="0"/>
    <n v="267.64003392139472"/>
  </r>
  <r>
    <x v="1"/>
    <d v="2020-03-04T00:00:00"/>
    <d v="2020-03-24T00:00:00"/>
    <x v="2"/>
    <n v="9"/>
    <n v="146"/>
    <n v="10.251577535152041"/>
    <n v="12.037191737714332"/>
    <n v="1757.4299937062924"/>
    <n v="1496.7303201321979"/>
    <n v="260.6996735740945"/>
    <n v="8.7861536846891592"/>
    <n v="269.48582725878367"/>
    <n v="0"/>
    <n v="0"/>
    <n v="0"/>
    <n v="269.48582725878367"/>
  </r>
  <r>
    <x v="2"/>
    <d v="2020-04-03T00:00:00"/>
    <d v="2020-04-24T00:00:00"/>
    <x v="2"/>
    <n v="9"/>
    <n v="97"/>
    <n v="10.251577535152041"/>
    <n v="12.037191737714332"/>
    <n v="1167.6075985582902"/>
    <n v="994.40302090974797"/>
    <n v="173.20457764854223"/>
    <n v="5.837376078183893"/>
    <n v="179.04195372672612"/>
    <n v="0"/>
    <n v="0"/>
    <n v="0"/>
    <n v="179.04195372672612"/>
  </r>
  <r>
    <x v="3"/>
    <d v="2020-05-05T00:00:00"/>
    <d v="2020-05-25T00:00:00"/>
    <x v="2"/>
    <n v="9"/>
    <n v="94"/>
    <n v="10.251577535152041"/>
    <n v="12.037191737714332"/>
    <n v="1131.4960233451473"/>
    <n v="963.6482883042919"/>
    <n v="167.84773504085535"/>
    <n v="5.6568386737039793"/>
    <n v="173.50457371455934"/>
    <n v="0"/>
    <n v="0"/>
    <n v="0"/>
    <n v="173.50457371455934"/>
  </r>
  <r>
    <x v="4"/>
    <d v="2020-06-03T00:00:00"/>
    <d v="2020-06-24T00:00:00"/>
    <x v="2"/>
    <n v="9"/>
    <n v="106"/>
    <n v="10.251577535152041"/>
    <n v="12.037191737714332"/>
    <n v="1275.9423241977192"/>
    <n v="1086.6672187261163"/>
    <n v="189.27510547160296"/>
    <n v="6.378988291623636"/>
    <n v="195.6540937632266"/>
    <n v="0"/>
    <n v="0"/>
    <n v="0"/>
    <n v="195.6540937632266"/>
  </r>
  <r>
    <x v="5"/>
    <d v="2020-07-03T00:00:00"/>
    <d v="2020-07-24T00:00:00"/>
    <x v="2"/>
    <n v="9"/>
    <n v="132"/>
    <n v="10.251577535152041"/>
    <n v="12.037191737714332"/>
    <n v="1588.9093093782919"/>
    <n v="1353.2082346400693"/>
    <n v="235.70107473822259"/>
    <n v="7.9436457971162255"/>
    <n v="243.64472053533882"/>
    <n v="0"/>
    <n v="0"/>
    <n v="0"/>
    <n v="243.64472053533882"/>
  </r>
  <r>
    <x v="6"/>
    <d v="2020-08-05T00:00:00"/>
    <d v="2020-08-24T00:00:00"/>
    <x v="2"/>
    <n v="9"/>
    <n v="139"/>
    <n v="10.251577535152041"/>
    <n v="12.037191737714332"/>
    <n v="1673.1696515422923"/>
    <n v="1424.9692773861336"/>
    <n v="248.20037415615866"/>
    <n v="8.3648997409026915"/>
    <n v="256.56527389706133"/>
    <n v="0"/>
    <n v="0"/>
    <n v="0"/>
    <n v="256.56527389706133"/>
  </r>
  <r>
    <x v="7"/>
    <d v="2020-09-03T00:00:00"/>
    <d v="2020-09-24T00:00:00"/>
    <x v="2"/>
    <n v="9"/>
    <n v="136"/>
    <n v="10.251577535152041"/>
    <n v="12.037191737714332"/>
    <n v="1637.0580763291491"/>
    <n v="1394.2145447806777"/>
    <n v="242.84353154847145"/>
    <n v="8.1843623364227778"/>
    <n v="251.02789388489421"/>
    <n v="0"/>
    <n v="0"/>
    <n v="0"/>
    <n v="251.02789388489421"/>
  </r>
  <r>
    <x v="8"/>
    <d v="2020-10-05T00:00:00"/>
    <d v="2020-10-26T00:00:00"/>
    <x v="2"/>
    <n v="9"/>
    <n v="116"/>
    <n v="10.251577535152041"/>
    <n v="12.037191737714332"/>
    <n v="1396.3142415748625"/>
    <n v="1189.1829940776367"/>
    <n v="207.13124749722579"/>
    <n v="6.9807796398900166"/>
    <n v="214.1120271371158"/>
    <n v="0"/>
    <n v="0"/>
    <n v="0"/>
    <n v="214.1120271371158"/>
  </r>
  <r>
    <x v="9"/>
    <d v="2020-11-04T00:00:00"/>
    <d v="2020-11-24T00:00:00"/>
    <x v="2"/>
    <n v="9"/>
    <n v="78"/>
    <n v="10.251577535152041"/>
    <n v="12.037191737714332"/>
    <n v="938.90095554171796"/>
    <n v="799.62304774185918"/>
    <n v="139.27790779985878"/>
    <n v="4.6939725164777695"/>
    <n v="143.97188031633655"/>
    <n v="0"/>
    <n v="0"/>
    <n v="0"/>
    <n v="143.97188031633655"/>
  </r>
  <r>
    <x v="10"/>
    <d v="2020-12-03T00:00:00"/>
    <d v="2020-12-24T00:00:00"/>
    <x v="2"/>
    <n v="9"/>
    <n v="109"/>
    <n v="10.251577535152041"/>
    <n v="12.037191737714332"/>
    <n v="1312.0538994108622"/>
    <n v="1117.4219513315725"/>
    <n v="194.63194807928971"/>
    <n v="6.5595256961035497"/>
    <n v="201.19147377539326"/>
    <n v="0"/>
    <n v="0"/>
    <n v="0"/>
    <n v="201.19147377539326"/>
  </r>
  <r>
    <x v="11"/>
    <d v="2021-01-06T00:00:00"/>
    <d v="2021-01-25T00:00:00"/>
    <x v="2"/>
    <n v="9"/>
    <n v="143"/>
    <n v="10.251577535152041"/>
    <n v="12.037191737714332"/>
    <n v="1721.3184184931495"/>
    <n v="1465.9755875267419"/>
    <n v="255.34283096640752"/>
    <n v="8.6056162802092437"/>
    <n v="263.94844724661675"/>
    <n v="0"/>
    <n v="0"/>
    <n v="0"/>
    <n v="263.94844724661675"/>
  </r>
  <r>
    <x v="0"/>
    <d v="2020-02-05T00:00:00"/>
    <d v="2020-02-24T00:00:00"/>
    <x v="3"/>
    <n v="9"/>
    <n v="753"/>
    <n v="10.251577535152041"/>
    <n v="12.037191737714332"/>
    <n v="9064.0053784988922"/>
    <n v="7719.4378839694873"/>
    <n v="1344.5674945294049"/>
    <n v="45.314888524458468"/>
    <n v="1389.8823830538634"/>
    <n v="0"/>
    <n v="0"/>
    <n v="0"/>
    <n v="1389.8823830538634"/>
  </r>
  <r>
    <x v="1"/>
    <d v="2020-03-04T00:00:00"/>
    <d v="2020-03-24T00:00:00"/>
    <x v="3"/>
    <n v="9"/>
    <n v="715"/>
    <n v="10.251577535152041"/>
    <n v="12.037191737714332"/>
    <n v="8606.5920924657476"/>
    <n v="7329.8779376337097"/>
    <n v="1276.7141548320378"/>
    <n v="43.028081401046222"/>
    <n v="1319.742236233084"/>
    <n v="0"/>
    <n v="0"/>
    <n v="0"/>
    <n v="1319.742236233084"/>
  </r>
  <r>
    <x v="2"/>
    <d v="2020-04-03T00:00:00"/>
    <d v="2020-04-24T00:00:00"/>
    <x v="3"/>
    <n v="9"/>
    <n v="510"/>
    <n v="10.251577535152041"/>
    <n v="12.037191737714332"/>
    <n v="6138.9677862343096"/>
    <n v="5228.3045429275408"/>
    <n v="910.66324330676889"/>
    <n v="30.691358761585416"/>
    <n v="941.35460206835432"/>
    <n v="0"/>
    <n v="0"/>
    <n v="0"/>
    <n v="941.35460206835432"/>
  </r>
  <r>
    <x v="3"/>
    <d v="2020-05-05T00:00:00"/>
    <d v="2020-05-25T00:00:00"/>
    <x v="3"/>
    <n v="9"/>
    <n v="615"/>
    <n v="10.251577535152041"/>
    <n v="12.037191737714332"/>
    <n v="7402.8729186943146"/>
    <n v="6304.7201841185051"/>
    <n v="1098.1527345758095"/>
    <n v="37.010167918382415"/>
    <n v="1135.1629024941919"/>
    <n v="0"/>
    <n v="0"/>
    <n v="0"/>
    <n v="1135.1629024941919"/>
  </r>
  <r>
    <x v="4"/>
    <d v="2020-06-03T00:00:00"/>
    <d v="2020-06-24T00:00:00"/>
    <x v="3"/>
    <n v="9"/>
    <n v="551"/>
    <n v="10.251577535152041"/>
    <n v="12.037191737714332"/>
    <n v="6632.492647480597"/>
    <n v="5648.6192218687747"/>
    <n v="983.87342561182231"/>
    <n v="33.158703289477579"/>
    <n v="1017.0321289012999"/>
    <n v="0"/>
    <n v="0"/>
    <n v="0"/>
    <n v="1017.0321289012999"/>
  </r>
  <r>
    <x v="5"/>
    <d v="2020-07-03T00:00:00"/>
    <d v="2020-07-24T00:00:00"/>
    <x v="3"/>
    <n v="9"/>
    <n v="815"/>
    <n v="10.251577535152041"/>
    <n v="12.037191737714332"/>
    <n v="9810.3112662371805"/>
    <n v="8355.0356911489143"/>
    <n v="1455.2755750882661"/>
    <n v="49.045994883710023"/>
    <n v="1504.3215699719763"/>
    <n v="0"/>
    <n v="0"/>
    <n v="0"/>
    <n v="1504.3215699719763"/>
  </r>
  <r>
    <x v="6"/>
    <d v="2020-08-05T00:00:00"/>
    <d v="2020-08-24T00:00:00"/>
    <x v="3"/>
    <n v="9"/>
    <n v="816"/>
    <n v="10.251577535152041"/>
    <n v="12.037191737714332"/>
    <n v="9822.3484579748947"/>
    <n v="8365.2872686840656"/>
    <n v="1457.0611892908291"/>
    <n v="49.10617401853667"/>
    <n v="1506.1673633093658"/>
    <n v="0"/>
    <n v="0"/>
    <n v="0"/>
    <n v="1506.1673633093658"/>
  </r>
  <r>
    <x v="7"/>
    <d v="2020-09-03T00:00:00"/>
    <d v="2020-09-24T00:00:00"/>
    <x v="3"/>
    <n v="9"/>
    <n v="889"/>
    <n v="10.251577535152041"/>
    <n v="12.037191737714332"/>
    <n v="10701.063454828041"/>
    <n v="9113.6524287501652"/>
    <n v="1587.4110260778762"/>
    <n v="53.499250860881247"/>
    <n v="1640.9102769387573"/>
    <n v="0"/>
    <n v="0"/>
    <n v="0"/>
    <n v="1640.9102769387573"/>
  </r>
  <r>
    <x v="8"/>
    <d v="2020-10-05T00:00:00"/>
    <d v="2020-10-26T00:00:00"/>
    <x v="3"/>
    <n v="9"/>
    <n v="768"/>
    <n v="10.251577535152041"/>
    <n v="12.037191737714332"/>
    <n v="9244.5632545646076"/>
    <n v="7873.2115469967675"/>
    <n v="1371.3517075678401"/>
    <n v="46.217575546858036"/>
    <n v="1417.5692831146982"/>
    <n v="0"/>
    <n v="0"/>
    <n v="0"/>
    <n v="1417.5692831146982"/>
  </r>
  <r>
    <x v="9"/>
    <d v="2020-11-04T00:00:00"/>
    <d v="2020-11-24T00:00:00"/>
    <x v="3"/>
    <n v="9"/>
    <n v="633"/>
    <n v="10.251577535152041"/>
    <n v="12.037191737714332"/>
    <n v="7619.5423699731728"/>
    <n v="6489.2485797512418"/>
    <n v="1130.293790221931"/>
    <n v="38.093392345261897"/>
    <n v="1168.3871825671929"/>
    <n v="0"/>
    <n v="0"/>
    <n v="0"/>
    <n v="1168.3871825671929"/>
  </r>
  <r>
    <x v="10"/>
    <d v="2020-12-03T00:00:00"/>
    <d v="2020-12-24T00:00:00"/>
    <x v="3"/>
    <n v="9"/>
    <n v="639"/>
    <n v="10.251577535152041"/>
    <n v="12.037191737714332"/>
    <n v="7691.7655203994582"/>
    <n v="6550.7580449621546"/>
    <n v="1141.0074754373036"/>
    <n v="38.454467154221732"/>
    <n v="1179.4619425915253"/>
    <n v="0"/>
    <n v="0"/>
    <n v="0"/>
    <n v="1179.4619425915253"/>
  </r>
  <r>
    <x v="11"/>
    <d v="2021-01-06T00:00:00"/>
    <d v="2021-01-25T00:00:00"/>
    <x v="3"/>
    <n v="9"/>
    <n v="734"/>
    <n v="10.251577535152041"/>
    <n v="12.037191737714332"/>
    <n v="8835.2987354823199"/>
    <n v="7524.6579108015985"/>
    <n v="1310.6408246807214"/>
    <n v="44.171484962752345"/>
    <n v="1354.8123096434738"/>
    <n v="0"/>
    <n v="0"/>
    <n v="0"/>
    <n v="1354.8123096434738"/>
  </r>
  <r>
    <x v="0"/>
    <d v="2020-02-05T00:00:00"/>
    <d v="2020-02-24T00:00:00"/>
    <x v="4"/>
    <n v="9"/>
    <n v="41"/>
    <n v="10.251577535152041"/>
    <n v="12.037191737714332"/>
    <n v="493.52486124628763"/>
    <n v="420.31467894123369"/>
    <n v="73.210182305053934"/>
    <n v="2.4673445278921609"/>
    <n v="75.6775268329461"/>
    <n v="0"/>
    <n v="0"/>
    <n v="0"/>
    <n v="75.6775268329461"/>
  </r>
  <r>
    <x v="1"/>
    <d v="2020-03-04T00:00:00"/>
    <d v="2020-03-24T00:00:00"/>
    <x v="4"/>
    <n v="9"/>
    <n v="34"/>
    <n v="10.251577535152041"/>
    <n v="12.037191737714332"/>
    <n v="409.26451908228728"/>
    <n v="348.55363619516942"/>
    <n v="60.710882887117862"/>
    <n v="2.0460905841056944"/>
    <n v="62.756973471223553"/>
    <n v="0"/>
    <n v="0"/>
    <n v="0"/>
    <n v="62.756973471223553"/>
  </r>
  <r>
    <x v="2"/>
    <d v="2020-04-03T00:00:00"/>
    <d v="2020-04-24T00:00:00"/>
    <x v="4"/>
    <n v="9"/>
    <n v="25"/>
    <n v="10.251577535152041"/>
    <n v="12.037191737714332"/>
    <n v="300.92979344285828"/>
    <n v="256.28943837880104"/>
    <n v="44.640355064057246"/>
    <n v="1.5044783706659517"/>
    <n v="46.144833434723196"/>
    <n v="0"/>
    <n v="0"/>
    <n v="0"/>
    <n v="46.144833434723196"/>
  </r>
  <r>
    <x v="3"/>
    <d v="2020-05-05T00:00:00"/>
    <d v="2020-05-25T00:00:00"/>
    <x v="4"/>
    <n v="9"/>
    <n v="31"/>
    <n v="10.251577535152041"/>
    <n v="12.037191737714332"/>
    <n v="373.15294386914428"/>
    <n v="317.79890358971329"/>
    <n v="55.35404027943099"/>
    <n v="1.86555317962578"/>
    <n v="57.219593459056767"/>
    <n v="0"/>
    <n v="0"/>
    <n v="0"/>
    <n v="57.219593459056767"/>
  </r>
  <r>
    <x v="4"/>
    <d v="2020-06-03T00:00:00"/>
    <d v="2020-06-24T00:00:00"/>
    <x v="4"/>
    <n v="9"/>
    <n v="28"/>
    <n v="10.251577535152041"/>
    <n v="12.037191737714332"/>
    <n v="337.04136865600128"/>
    <n v="287.04417098425716"/>
    <n v="49.997197671744118"/>
    <n v="1.6850157751458659"/>
    <n v="51.682213446889982"/>
    <n v="0"/>
    <n v="0"/>
    <n v="0"/>
    <n v="51.682213446889982"/>
  </r>
  <r>
    <x v="5"/>
    <d v="2020-07-03T00:00:00"/>
    <d v="2020-07-24T00:00:00"/>
    <x v="4"/>
    <n v="9"/>
    <n v="46"/>
    <n v="10.251577535152041"/>
    <n v="12.037191737714332"/>
    <n v="553.71081993485927"/>
    <n v="471.57256661699387"/>
    <n v="82.138253317865406"/>
    <n v="2.7682402020253511"/>
    <n v="84.906493519890759"/>
    <n v="0"/>
    <n v="0"/>
    <n v="0"/>
    <n v="84.906493519890759"/>
  </r>
  <r>
    <x v="6"/>
    <d v="2020-08-05T00:00:00"/>
    <d v="2020-08-24T00:00:00"/>
    <x v="4"/>
    <n v="9"/>
    <n v="46"/>
    <n v="10.251577535152041"/>
    <n v="12.037191737714332"/>
    <n v="553.71081993485927"/>
    <n v="471.57256661699387"/>
    <n v="82.138253317865406"/>
    <n v="2.7682402020253511"/>
    <n v="84.906493519890759"/>
    <n v="0"/>
    <n v="0"/>
    <n v="0"/>
    <n v="84.906493519890759"/>
  </r>
  <r>
    <x v="7"/>
    <d v="2020-09-03T00:00:00"/>
    <d v="2020-09-24T00:00:00"/>
    <x v="4"/>
    <n v="9"/>
    <n v="43"/>
    <n v="10.251577535152041"/>
    <n v="12.037191737714332"/>
    <n v="517.59924472171633"/>
    <n v="440.81783401153774"/>
    <n v="76.781410710178591"/>
    <n v="2.587702797545437"/>
    <n v="79.369113507724023"/>
    <n v="0"/>
    <n v="0"/>
    <n v="0"/>
    <n v="79.369113507724023"/>
  </r>
  <r>
    <x v="8"/>
    <d v="2020-10-05T00:00:00"/>
    <d v="2020-10-26T00:00:00"/>
    <x v="4"/>
    <n v="9"/>
    <n v="41"/>
    <n v="10.251577535152041"/>
    <n v="12.037191737714332"/>
    <n v="493.52486124628763"/>
    <n v="420.31467894123369"/>
    <n v="73.210182305053934"/>
    <n v="2.4673445278921609"/>
    <n v="75.6775268329461"/>
    <n v="0"/>
    <n v="0"/>
    <n v="0"/>
    <n v="75.6775268329461"/>
  </r>
  <r>
    <x v="9"/>
    <d v="2020-11-04T00:00:00"/>
    <d v="2020-11-24T00:00:00"/>
    <x v="4"/>
    <n v="9"/>
    <n v="32"/>
    <n v="10.251577535152041"/>
    <n v="12.037191737714332"/>
    <n v="385.19013560685863"/>
    <n v="328.05048112486531"/>
    <n v="57.139654481993318"/>
    <n v="1.9257323144524183"/>
    <n v="59.065386796445736"/>
    <n v="0"/>
    <n v="0"/>
    <n v="0"/>
    <n v="59.065386796445736"/>
  </r>
  <r>
    <x v="10"/>
    <d v="2020-12-03T00:00:00"/>
    <d v="2020-12-24T00:00:00"/>
    <x v="4"/>
    <n v="9"/>
    <n v="30"/>
    <n v="10.251577535152041"/>
    <n v="12.037191737714332"/>
    <n v="361.11575213142999"/>
    <n v="307.54732605456121"/>
    <n v="53.568426076868775"/>
    <n v="1.8053740447991422"/>
    <n v="55.373800121667919"/>
    <n v="0"/>
    <n v="0"/>
    <n v="0"/>
    <n v="55.373800121667919"/>
  </r>
  <r>
    <x v="11"/>
    <d v="2021-01-06T00:00:00"/>
    <d v="2021-01-25T00:00:00"/>
    <x v="4"/>
    <n v="9"/>
    <n v="39"/>
    <n v="10.251577535152041"/>
    <n v="12.037191737714332"/>
    <n v="469.45047777085898"/>
    <n v="399.81152387092959"/>
    <n v="69.63895389992939"/>
    <n v="2.3469862582388847"/>
    <n v="71.985940158168276"/>
    <n v="0"/>
    <n v="0"/>
    <n v="0"/>
    <n v="71.985940158168276"/>
  </r>
  <r>
    <x v="0"/>
    <d v="2020-02-05T00:00:00"/>
    <d v="2020-02-24T00:00:00"/>
    <x v="5"/>
    <n v="9"/>
    <n v="40"/>
    <n v="10.251577535152041"/>
    <n v="12.037191737714332"/>
    <n v="481.48766950857328"/>
    <n v="410.06310140608161"/>
    <n v="71.424568102491662"/>
    <n v="2.4071653930655228"/>
    <n v="73.831733495557188"/>
    <n v="0"/>
    <n v="0"/>
    <n v="0"/>
    <n v="73.831733495557188"/>
  </r>
  <r>
    <x v="1"/>
    <d v="2020-03-04T00:00:00"/>
    <d v="2020-03-24T00:00:00"/>
    <x v="5"/>
    <n v="9"/>
    <n v="42"/>
    <n v="10.251577535152041"/>
    <n v="12.037191737714332"/>
    <n v="505.56205298400198"/>
    <n v="430.56625647638572"/>
    <n v="74.995796507616262"/>
    <n v="2.5275236627187989"/>
    <n v="77.523320170335055"/>
    <n v="0"/>
    <n v="0"/>
    <n v="0"/>
    <n v="77.523320170335055"/>
  </r>
  <r>
    <x v="2"/>
    <d v="2020-04-03T00:00:00"/>
    <d v="2020-04-24T00:00:00"/>
    <x v="5"/>
    <n v="9"/>
    <n v="29"/>
    <n v="10.251577535152041"/>
    <n v="12.037191737714332"/>
    <n v="349.07856039371563"/>
    <n v="297.29574851940919"/>
    <n v="51.782811874306446"/>
    <n v="1.7451949099725041"/>
    <n v="53.528006784278951"/>
    <n v="0"/>
    <n v="0"/>
    <n v="0"/>
    <n v="53.528006784278951"/>
  </r>
  <r>
    <x v="3"/>
    <d v="2020-05-05T00:00:00"/>
    <d v="2020-05-25T00:00:00"/>
    <x v="5"/>
    <n v="9"/>
    <n v="32"/>
    <n v="10.251577535152041"/>
    <n v="12.037191737714332"/>
    <n v="385.19013560685863"/>
    <n v="328.05048112486531"/>
    <n v="57.139654481993318"/>
    <n v="1.9257323144524183"/>
    <n v="59.065386796445736"/>
    <n v="0"/>
    <n v="0"/>
    <n v="0"/>
    <n v="59.065386796445736"/>
  </r>
  <r>
    <x v="4"/>
    <d v="2020-06-03T00:00:00"/>
    <d v="2020-06-24T00:00:00"/>
    <x v="5"/>
    <n v="9"/>
    <n v="24"/>
    <n v="10.251577535152041"/>
    <n v="12.037191737714332"/>
    <n v="288.89260170514399"/>
    <n v="246.03786084364899"/>
    <n v="42.854740861495003"/>
    <n v="1.4442992358393136"/>
    <n v="44.29904009733432"/>
    <n v="0"/>
    <n v="0"/>
    <n v="0"/>
    <n v="44.29904009733432"/>
  </r>
  <r>
    <x v="5"/>
    <d v="2020-07-03T00:00:00"/>
    <d v="2020-07-24T00:00:00"/>
    <x v="5"/>
    <n v="9"/>
    <n v="32"/>
    <n v="10.251577535152041"/>
    <n v="12.037191737714332"/>
    <n v="385.19013560685863"/>
    <n v="328.05048112486531"/>
    <n v="57.139654481993318"/>
    <n v="1.9257323144524183"/>
    <n v="59.065386796445736"/>
    <n v="0"/>
    <n v="0"/>
    <n v="0"/>
    <n v="59.065386796445736"/>
  </r>
  <r>
    <x v="6"/>
    <d v="2020-08-05T00:00:00"/>
    <d v="2020-08-24T00:00:00"/>
    <x v="5"/>
    <n v="9"/>
    <n v="42"/>
    <n v="10.251577535152041"/>
    <n v="12.037191737714332"/>
    <n v="505.56205298400198"/>
    <n v="430.56625647638572"/>
    <n v="74.995796507616262"/>
    <n v="2.5275236627187989"/>
    <n v="77.523320170335055"/>
    <n v="0"/>
    <n v="0"/>
    <n v="0"/>
    <n v="77.523320170335055"/>
  </r>
  <r>
    <x v="7"/>
    <d v="2020-09-03T00:00:00"/>
    <d v="2020-09-24T00:00:00"/>
    <x v="5"/>
    <n v="9"/>
    <n v="39"/>
    <n v="10.251577535152041"/>
    <n v="12.037191737714332"/>
    <n v="469.45047777085898"/>
    <n v="399.81152387092959"/>
    <n v="69.63895389992939"/>
    <n v="2.3469862582388847"/>
    <n v="71.985940158168276"/>
    <n v="0"/>
    <n v="0"/>
    <n v="0"/>
    <n v="71.985940158168276"/>
  </r>
  <r>
    <x v="8"/>
    <d v="2020-10-05T00:00:00"/>
    <d v="2020-10-26T00:00:00"/>
    <x v="5"/>
    <n v="9"/>
    <n v="36"/>
    <n v="10.251577535152041"/>
    <n v="12.037191737714332"/>
    <n v="433.33890255771598"/>
    <n v="369.05679126547346"/>
    <n v="64.282111292242519"/>
    <n v="2.1664488537589706"/>
    <n v="66.448560146001483"/>
    <n v="0"/>
    <n v="0"/>
    <n v="0"/>
    <n v="66.448560146001483"/>
  </r>
  <r>
    <x v="9"/>
    <d v="2020-11-04T00:00:00"/>
    <d v="2020-11-24T00:00:00"/>
    <x v="5"/>
    <n v="9"/>
    <n v="34"/>
    <n v="10.251577535152041"/>
    <n v="12.037191737714332"/>
    <n v="409.26451908228728"/>
    <n v="348.55363619516942"/>
    <n v="60.710882887117862"/>
    <n v="2.0460905841056944"/>
    <n v="62.756973471223553"/>
    <n v="0"/>
    <n v="0"/>
    <n v="0"/>
    <n v="62.756973471223553"/>
  </r>
  <r>
    <x v="10"/>
    <d v="2020-12-03T00:00:00"/>
    <d v="2020-12-24T00:00:00"/>
    <x v="5"/>
    <n v="9"/>
    <n v="37"/>
    <n v="10.251577535152041"/>
    <n v="12.037191737714332"/>
    <n v="445.37609429543028"/>
    <n v="379.30836880062554"/>
    <n v="66.067725494804733"/>
    <n v="2.2266279885856086"/>
    <n v="68.294353483390339"/>
    <n v="0"/>
    <n v="0"/>
    <n v="0"/>
    <n v="68.294353483390339"/>
  </r>
  <r>
    <x v="11"/>
    <d v="2021-01-06T00:00:00"/>
    <d v="2021-01-25T00:00:00"/>
    <x v="5"/>
    <n v="9"/>
    <n v="41"/>
    <n v="10.251577535152041"/>
    <n v="12.037191737714332"/>
    <n v="493.52486124628763"/>
    <n v="420.31467894123369"/>
    <n v="73.210182305053934"/>
    <n v="2.4673445278921609"/>
    <n v="75.6775268329461"/>
    <n v="0"/>
    <n v="0"/>
    <n v="0"/>
    <n v="75.6775268329461"/>
  </r>
  <r>
    <x v="0"/>
    <d v="2020-02-05T00:00:00"/>
    <d v="2020-02-24T00:00:00"/>
    <x v="6"/>
    <n v="9"/>
    <n v="76"/>
    <n v="10.251577535152041"/>
    <n v="12.037191737714332"/>
    <n v="914.82657206628926"/>
    <n v="779.11989267155514"/>
    <n v="135.70667939473412"/>
    <n v="4.5736142468244942"/>
    <n v="140.28029364155861"/>
    <n v="0"/>
    <n v="0"/>
    <n v="0"/>
    <n v="140.28029364155861"/>
  </r>
  <r>
    <x v="1"/>
    <d v="2020-03-04T00:00:00"/>
    <d v="2020-03-24T00:00:00"/>
    <x v="6"/>
    <n v="9"/>
    <n v="77"/>
    <n v="10.251577535152041"/>
    <n v="12.037191737714332"/>
    <n v="926.86376380400361"/>
    <n v="789.37147020670716"/>
    <n v="137.49229359729645"/>
    <n v="4.633793381651131"/>
    <n v="142.12608697894757"/>
    <n v="0"/>
    <n v="0"/>
    <n v="0"/>
    <n v="142.12608697894757"/>
  </r>
  <r>
    <x v="2"/>
    <d v="2020-04-03T00:00:00"/>
    <d v="2020-04-24T00:00:00"/>
    <x v="6"/>
    <n v="9"/>
    <n v="85"/>
    <n v="10.251577535152041"/>
    <n v="12.037191737714332"/>
    <n v="1023.1612977057182"/>
    <n v="871.38409048792346"/>
    <n v="151.77720721779474"/>
    <n v="5.1152264602642363"/>
    <n v="156.89243367805898"/>
    <n v="0"/>
    <n v="0"/>
    <n v="0"/>
    <n v="156.89243367805898"/>
  </r>
  <r>
    <x v="3"/>
    <d v="2020-05-05T00:00:00"/>
    <d v="2020-05-25T00:00:00"/>
    <x v="6"/>
    <n v="9"/>
    <n v="82"/>
    <n v="10.251577535152041"/>
    <n v="12.037191737714332"/>
    <n v="987.04972249257526"/>
    <n v="840.62935788246739"/>
    <n v="146.42036461010787"/>
    <n v="4.9346890557843217"/>
    <n v="151.3550536658922"/>
    <n v="0"/>
    <n v="0"/>
    <n v="0"/>
    <n v="151.3550536658922"/>
  </r>
  <r>
    <x v="4"/>
    <d v="2020-06-03T00:00:00"/>
    <d v="2020-06-24T00:00:00"/>
    <x v="6"/>
    <n v="9"/>
    <n v="117"/>
    <n v="10.251577535152041"/>
    <n v="12.037191737714332"/>
    <n v="1408.3514333125768"/>
    <n v="1199.4345716127889"/>
    <n v="208.91686169978789"/>
    <n v="7.0409587747166542"/>
    <n v="215.95782047450453"/>
    <n v="0"/>
    <n v="0"/>
    <n v="0"/>
    <n v="215.95782047450453"/>
  </r>
  <r>
    <x v="5"/>
    <d v="2020-07-03T00:00:00"/>
    <d v="2020-07-24T00:00:00"/>
    <x v="6"/>
    <n v="9"/>
    <n v="131"/>
    <n v="10.251577535152041"/>
    <n v="12.037191737714332"/>
    <n v="1576.8721176405775"/>
    <n v="1342.9566571049174"/>
    <n v="233.91546053566003"/>
    <n v="7.8834666622895879"/>
    <n v="241.79892719794961"/>
    <n v="0"/>
    <n v="0"/>
    <n v="0"/>
    <n v="241.79892719794961"/>
  </r>
  <r>
    <x v="6"/>
    <d v="2020-08-05T00:00:00"/>
    <d v="2020-08-24T00:00:00"/>
    <x v="6"/>
    <n v="9"/>
    <n v="147"/>
    <n v="10.251577535152041"/>
    <n v="12.037191737714332"/>
    <n v="1769.4671854440069"/>
    <n v="1506.98189766735"/>
    <n v="262.48528777665683"/>
    <n v="8.846332819515796"/>
    <n v="271.33162059617263"/>
    <n v="0"/>
    <n v="0"/>
    <n v="0"/>
    <n v="271.33162059617263"/>
  </r>
  <r>
    <x v="7"/>
    <d v="2020-09-03T00:00:00"/>
    <d v="2020-09-24T00:00:00"/>
    <x v="6"/>
    <n v="9"/>
    <n v="141"/>
    <n v="10.251577535152041"/>
    <n v="12.037191737714332"/>
    <n v="1697.2440350177208"/>
    <n v="1445.4724324564379"/>
    <n v="251.77160256128286"/>
    <n v="8.4852580105559685"/>
    <n v="260.25686057183884"/>
    <n v="0"/>
    <n v="0"/>
    <n v="0"/>
    <n v="260.25686057183884"/>
  </r>
  <r>
    <x v="8"/>
    <d v="2020-10-05T00:00:00"/>
    <d v="2020-10-26T00:00:00"/>
    <x v="6"/>
    <n v="9"/>
    <n v="111"/>
    <n v="10.251577535152041"/>
    <n v="12.037191737714332"/>
    <n v="1336.1282828862909"/>
    <n v="1137.9251064018765"/>
    <n v="198.20317648441437"/>
    <n v="6.6798839657568259"/>
    <n v="204.8830604501712"/>
    <n v="0"/>
    <n v="0"/>
    <n v="0"/>
    <n v="204.8830604501712"/>
  </r>
  <r>
    <x v="9"/>
    <d v="2020-11-04T00:00:00"/>
    <d v="2020-11-24T00:00:00"/>
    <x v="6"/>
    <n v="9"/>
    <n v="98"/>
    <n v="10.251577535152041"/>
    <n v="12.037191737714332"/>
    <n v="1179.6447902960047"/>
    <n v="1004.6545984449"/>
    <n v="174.99019185110467"/>
    <n v="5.8975552130105307"/>
    <n v="180.88774706411519"/>
    <n v="0"/>
    <n v="0"/>
    <n v="0"/>
    <n v="180.88774706411519"/>
  </r>
  <r>
    <x v="10"/>
    <d v="2020-12-03T00:00:00"/>
    <d v="2020-12-24T00:00:00"/>
    <x v="6"/>
    <n v="9"/>
    <n v="74"/>
    <n v="10.251577535152041"/>
    <n v="12.037191737714332"/>
    <n v="890.75218859086056"/>
    <n v="758.61673760125109"/>
    <n v="132.13545098960947"/>
    <n v="4.4532559771712172"/>
    <n v="136.58870696678068"/>
    <n v="0"/>
    <n v="0"/>
    <n v="0"/>
    <n v="136.58870696678068"/>
  </r>
  <r>
    <x v="11"/>
    <d v="2021-01-06T00:00:00"/>
    <d v="2021-01-25T00:00:00"/>
    <x v="6"/>
    <n v="9"/>
    <n v="78"/>
    <n v="10.251577535152041"/>
    <n v="12.037191737714332"/>
    <n v="938.90095554171796"/>
    <n v="799.62304774185918"/>
    <n v="139.27790779985878"/>
    <n v="4.6939725164777695"/>
    <n v="143.97188031633655"/>
    <n v="0"/>
    <n v="0"/>
    <n v="0"/>
    <n v="143.97188031633655"/>
  </r>
  <r>
    <x v="0"/>
    <d v="2020-02-05T00:00:00"/>
    <d v="2020-02-24T00:00:00"/>
    <x v="7"/>
    <n v="9"/>
    <n v="39"/>
    <n v="10.251577535152041"/>
    <n v="12.037191737714332"/>
    <n v="469.45047777085898"/>
    <n v="399.81152387092959"/>
    <n v="69.63895389992939"/>
    <n v="2.3469862582388847"/>
    <n v="71.985940158168276"/>
    <n v="0"/>
    <n v="0"/>
    <n v="0"/>
    <n v="71.985940158168276"/>
  </r>
  <r>
    <x v="1"/>
    <d v="2020-03-04T00:00:00"/>
    <d v="2020-03-24T00:00:00"/>
    <x v="7"/>
    <n v="9"/>
    <n v="41"/>
    <n v="10.251577535152041"/>
    <n v="12.037191737714332"/>
    <n v="493.52486124628763"/>
    <n v="420.31467894123369"/>
    <n v="73.210182305053934"/>
    <n v="2.4673445278921609"/>
    <n v="75.6775268329461"/>
    <n v="0"/>
    <n v="0"/>
    <n v="0"/>
    <n v="75.6775268329461"/>
  </r>
  <r>
    <x v="2"/>
    <d v="2020-04-03T00:00:00"/>
    <d v="2020-04-24T00:00:00"/>
    <x v="7"/>
    <n v="9"/>
    <n v="36"/>
    <n v="10.251577535152041"/>
    <n v="12.037191737714332"/>
    <n v="433.33890255771598"/>
    <n v="369.05679126547346"/>
    <n v="64.282111292242519"/>
    <n v="2.1664488537589706"/>
    <n v="66.448560146001483"/>
    <n v="0"/>
    <n v="0"/>
    <n v="0"/>
    <n v="66.448560146001483"/>
  </r>
  <r>
    <x v="3"/>
    <d v="2020-05-05T00:00:00"/>
    <d v="2020-05-25T00:00:00"/>
    <x v="7"/>
    <n v="9"/>
    <n v="31"/>
    <n v="10.251577535152041"/>
    <n v="12.037191737714332"/>
    <n v="373.15294386914428"/>
    <n v="317.79890358971329"/>
    <n v="55.35404027943099"/>
    <n v="1.86555317962578"/>
    <n v="57.219593459056767"/>
    <n v="0"/>
    <n v="0"/>
    <n v="0"/>
    <n v="57.219593459056767"/>
  </r>
  <r>
    <x v="4"/>
    <d v="2020-06-03T00:00:00"/>
    <d v="2020-06-24T00:00:00"/>
    <x v="7"/>
    <n v="9"/>
    <n v="32"/>
    <n v="10.251577535152041"/>
    <n v="12.037191737714332"/>
    <n v="385.19013560685863"/>
    <n v="328.05048112486531"/>
    <n v="57.139654481993318"/>
    <n v="1.9257323144524183"/>
    <n v="59.065386796445736"/>
    <n v="0"/>
    <n v="0"/>
    <n v="0"/>
    <n v="59.065386796445736"/>
  </r>
  <r>
    <x v="5"/>
    <d v="2020-07-03T00:00:00"/>
    <d v="2020-07-24T00:00:00"/>
    <x v="7"/>
    <n v="9"/>
    <n v="39"/>
    <n v="10.251577535152041"/>
    <n v="12.037191737714332"/>
    <n v="469.45047777085898"/>
    <n v="399.81152387092959"/>
    <n v="69.63895389992939"/>
    <n v="2.3469862582388847"/>
    <n v="71.985940158168276"/>
    <n v="0"/>
    <n v="0"/>
    <n v="0"/>
    <n v="71.985940158168276"/>
  </r>
  <r>
    <x v="6"/>
    <d v="2020-08-05T00:00:00"/>
    <d v="2020-08-24T00:00:00"/>
    <x v="7"/>
    <n v="9"/>
    <n v="44"/>
    <n v="10.251577535152041"/>
    <n v="12.037191737714332"/>
    <n v="529.63643645943057"/>
    <n v="451.06941154668982"/>
    <n v="78.567024912740749"/>
    <n v="2.647881932372075"/>
    <n v="81.214906845112822"/>
    <n v="0"/>
    <n v="0"/>
    <n v="0"/>
    <n v="81.214906845112822"/>
  </r>
  <r>
    <x v="7"/>
    <d v="2020-09-03T00:00:00"/>
    <d v="2020-09-24T00:00:00"/>
    <x v="7"/>
    <n v="9"/>
    <n v="38"/>
    <n v="10.251577535152041"/>
    <n v="12.037191737714332"/>
    <n v="457.41328603314463"/>
    <n v="389.55994633577757"/>
    <n v="67.853339697367062"/>
    <n v="2.2868071234122471"/>
    <n v="70.140146820779307"/>
    <n v="0"/>
    <n v="0"/>
    <n v="0"/>
    <n v="70.140146820779307"/>
  </r>
  <r>
    <x v="8"/>
    <d v="2020-10-05T00:00:00"/>
    <d v="2020-10-26T00:00:00"/>
    <x v="7"/>
    <n v="9"/>
    <n v="41"/>
    <n v="10.251577535152041"/>
    <n v="12.037191737714332"/>
    <n v="493.52486124628763"/>
    <n v="420.31467894123369"/>
    <n v="73.210182305053934"/>
    <n v="2.4673445278921609"/>
    <n v="75.6775268329461"/>
    <n v="0"/>
    <n v="0"/>
    <n v="0"/>
    <n v="75.6775268329461"/>
  </r>
  <r>
    <x v="9"/>
    <d v="2020-11-04T00:00:00"/>
    <d v="2020-11-24T00:00:00"/>
    <x v="7"/>
    <n v="9"/>
    <n v="42"/>
    <n v="10.251577535152041"/>
    <n v="12.037191737714332"/>
    <n v="505.56205298400198"/>
    <n v="430.56625647638572"/>
    <n v="74.995796507616262"/>
    <n v="2.5275236627187989"/>
    <n v="77.523320170335055"/>
    <n v="0"/>
    <n v="0"/>
    <n v="0"/>
    <n v="77.523320170335055"/>
  </r>
  <r>
    <x v="10"/>
    <d v="2020-12-03T00:00:00"/>
    <d v="2020-12-24T00:00:00"/>
    <x v="7"/>
    <n v="9"/>
    <n v="45"/>
    <n v="10.251577535152041"/>
    <n v="12.037191737714332"/>
    <n v="541.67362819714492"/>
    <n v="461.32098908184184"/>
    <n v="80.352639115303077"/>
    <n v="2.7080610671987135"/>
    <n v="83.06070018250179"/>
    <n v="0"/>
    <n v="0"/>
    <n v="0"/>
    <n v="83.06070018250179"/>
  </r>
  <r>
    <x v="11"/>
    <d v="2021-01-06T00:00:00"/>
    <d v="2021-01-25T00:00:00"/>
    <x v="7"/>
    <n v="9"/>
    <n v="43"/>
    <n v="10.251577535152041"/>
    <n v="12.037191737714332"/>
    <n v="517.59924472171633"/>
    <n v="440.81783401153774"/>
    <n v="76.781410710178591"/>
    <n v="2.587702797545437"/>
    <n v="79.369113507724023"/>
    <n v="0"/>
    <n v="0"/>
    <n v="0"/>
    <n v="79.369113507724023"/>
  </r>
  <r>
    <x v="0"/>
    <d v="2020-02-05T00:00:00"/>
    <d v="2020-02-24T00:00:00"/>
    <x v="8"/>
    <n v="9"/>
    <n v="973"/>
    <n v="10.251577535152041"/>
    <n v="12.037191737714332"/>
    <n v="11712.187560796045"/>
    <n v="9974.7849417029356"/>
    <n v="1737.402619093109"/>
    <n v="58.554298186318846"/>
    <n v="1795.9569172794279"/>
    <n v="0"/>
    <n v="0"/>
    <n v="0"/>
    <n v="1795.9569172794279"/>
  </r>
  <r>
    <x v="1"/>
    <d v="2020-03-04T00:00:00"/>
    <d v="2020-03-24T00:00:00"/>
    <x v="8"/>
    <n v="9"/>
    <n v="991"/>
    <n v="10.251577535152041"/>
    <n v="12.037191737714332"/>
    <n v="11928.857012074903"/>
    <n v="10159.313337335672"/>
    <n v="1769.5436747392305"/>
    <n v="59.637522613198328"/>
    <n v="1829.1811973524289"/>
    <n v="0"/>
    <n v="0"/>
    <n v="0"/>
    <n v="1829.1811973524289"/>
  </r>
  <r>
    <x v="2"/>
    <d v="2020-04-03T00:00:00"/>
    <d v="2020-04-24T00:00:00"/>
    <x v="8"/>
    <n v="9"/>
    <n v="585"/>
    <n v="10.251577535152041"/>
    <n v="12.037191737714332"/>
    <n v="7041.7571665628848"/>
    <n v="5997.1728580639437"/>
    <n v="1044.584308498941"/>
    <n v="35.20479387358327"/>
    <n v="1079.7891023725242"/>
    <n v="0"/>
    <n v="0"/>
    <n v="0"/>
    <n v="1079.7891023725242"/>
  </r>
  <r>
    <x v="3"/>
    <d v="2020-05-05T00:00:00"/>
    <d v="2020-05-25T00:00:00"/>
    <x v="8"/>
    <n v="9"/>
    <n v="650"/>
    <n v="10.251577535152041"/>
    <n v="12.037191737714332"/>
    <n v="7824.1746295143157"/>
    <n v="6663.5253978488263"/>
    <n v="1160.6492316654894"/>
    <n v="39.116437637314746"/>
    <n v="1199.7656693028041"/>
    <n v="0"/>
    <n v="0"/>
    <n v="0"/>
    <n v="1199.7656693028041"/>
  </r>
  <r>
    <x v="4"/>
    <d v="2020-06-03T00:00:00"/>
    <d v="2020-06-24T00:00:00"/>
    <x v="8"/>
    <n v="9"/>
    <n v="688"/>
    <n v="10.251577535152041"/>
    <n v="12.037191737714332"/>
    <n v="8281.5879155474613"/>
    <n v="7053.0853441846039"/>
    <n v="1228.5025713628575"/>
    <n v="41.403244760726992"/>
    <n v="1269.9058161235844"/>
    <n v="0"/>
    <n v="0"/>
    <n v="0"/>
    <n v="1269.9058161235844"/>
  </r>
  <r>
    <x v="5"/>
    <d v="2020-07-03T00:00:00"/>
    <d v="2020-07-24T00:00:00"/>
    <x v="8"/>
    <n v="9"/>
    <n v="835"/>
    <n v="10.251577535152041"/>
    <n v="12.037191737714332"/>
    <n v="10051.055100991467"/>
    <n v="8560.0672418519534"/>
    <n v="1490.9878591395136"/>
    <n v="50.249577580242786"/>
    <n v="1541.2374367197565"/>
    <n v="0"/>
    <n v="0"/>
    <n v="0"/>
    <n v="1541.2374367197565"/>
  </r>
  <r>
    <x v="6"/>
    <d v="2020-08-05T00:00:00"/>
    <d v="2020-08-24T00:00:00"/>
    <x v="8"/>
    <n v="9"/>
    <n v="908"/>
    <n v="10.251577535152041"/>
    <n v="12.037191737714332"/>
    <n v="10929.770097844614"/>
    <n v="9308.4324019180531"/>
    <n v="1621.3376959265606"/>
    <n v="54.64265442258737"/>
    <n v="1675.980350349148"/>
    <n v="0"/>
    <n v="0"/>
    <n v="0"/>
    <n v="1675.980350349148"/>
  </r>
  <r>
    <x v="7"/>
    <d v="2020-09-03T00:00:00"/>
    <d v="2020-09-24T00:00:00"/>
    <x v="8"/>
    <n v="9"/>
    <n v="905"/>
    <n v="10.251577535152041"/>
    <n v="12.037191737714332"/>
    <n v="10893.658522631471"/>
    <n v="9277.6776693125976"/>
    <n v="1615.9808533188734"/>
    <n v="54.462117018107456"/>
    <n v="1670.4429703369808"/>
    <n v="0"/>
    <n v="0"/>
    <n v="0"/>
    <n v="1670.4429703369808"/>
  </r>
  <r>
    <x v="8"/>
    <d v="2020-10-05T00:00:00"/>
    <d v="2020-10-26T00:00:00"/>
    <x v="8"/>
    <n v="9"/>
    <n v="758"/>
    <n v="10.251577535152041"/>
    <n v="12.037191737714332"/>
    <n v="9124.1913371874634"/>
    <n v="7770.6957716452471"/>
    <n v="1353.4955655422164"/>
    <n v="45.615784198591655"/>
    <n v="1399.111349740808"/>
    <n v="0"/>
    <n v="0"/>
    <n v="0"/>
    <n v="1399.111349740808"/>
  </r>
  <r>
    <x v="9"/>
    <d v="2020-11-04T00:00:00"/>
    <d v="2020-11-24T00:00:00"/>
    <x v="8"/>
    <n v="9"/>
    <n v="713"/>
    <n v="10.251577535152041"/>
    <n v="12.037191737714332"/>
    <n v="8582.5177089903191"/>
    <n v="7309.3747825634055"/>
    <n v="1273.1429264269136"/>
    <n v="42.907723131392949"/>
    <n v="1316.0506495583065"/>
    <n v="0"/>
    <n v="0"/>
    <n v="0"/>
    <n v="1316.0506495583065"/>
  </r>
  <r>
    <x v="10"/>
    <d v="2020-12-03T00:00:00"/>
    <d v="2020-12-24T00:00:00"/>
    <x v="8"/>
    <n v="9"/>
    <n v="763"/>
    <n v="10.251577535152041"/>
    <n v="12.037191737714332"/>
    <n v="9184.3772958760346"/>
    <n v="7821.9536593210078"/>
    <n v="1362.4236365550269"/>
    <n v="45.916679872724849"/>
    <n v="1408.3403164277518"/>
    <n v="0"/>
    <n v="0"/>
    <n v="0"/>
    <n v="1408.3403164277518"/>
  </r>
  <r>
    <x v="11"/>
    <d v="2021-01-06T00:00:00"/>
    <d v="2021-01-25T00:00:00"/>
    <x v="8"/>
    <n v="9"/>
    <n v="988"/>
    <n v="10.251577535152041"/>
    <n v="12.037191737714332"/>
    <n v="11892.74543686176"/>
    <n v="10128.558604730217"/>
    <n v="1764.1868321315433"/>
    <n v="59.456985208718407"/>
    <n v="1823.6438173402616"/>
    <n v="0"/>
    <n v="0"/>
    <n v="0"/>
    <n v="1823.6438173402616"/>
  </r>
  <r>
    <x v="0"/>
    <d v="2020-02-05T00:00:00"/>
    <d v="2020-02-24T00:00:00"/>
    <x v="9"/>
    <n v="9"/>
    <n v="6"/>
    <n v="10.251577535152041"/>
    <n v="12.037191737714332"/>
    <n v="72.223150426285997"/>
    <n v="61.509465210912246"/>
    <n v="10.713685215373751"/>
    <n v="0.36107480895982841"/>
    <n v="11.07476002433358"/>
    <n v="0"/>
    <n v="0"/>
    <n v="0"/>
    <n v="11.07476002433358"/>
  </r>
  <r>
    <x v="1"/>
    <d v="2020-03-04T00:00:00"/>
    <d v="2020-03-24T00:00:00"/>
    <x v="9"/>
    <n v="9"/>
    <n v="5"/>
    <n v="10.251577535152041"/>
    <n v="12.037191737714332"/>
    <n v="60.18595868857166"/>
    <n v="51.257887675760202"/>
    <n v="8.9280710128114578"/>
    <n v="0.30089567413319035"/>
    <n v="9.2289666869446485"/>
    <n v="0"/>
    <n v="0"/>
    <n v="0"/>
    <n v="9.2289666869446485"/>
  </r>
  <r>
    <x v="2"/>
    <d v="2020-04-03T00:00:00"/>
    <d v="2020-04-24T00:00:00"/>
    <x v="9"/>
    <n v="9"/>
    <n v="4"/>
    <n v="10.251577535152041"/>
    <n v="12.037191737714332"/>
    <n v="48.148766950857329"/>
    <n v="41.006310140608164"/>
    <n v="7.1424568102491648"/>
    <n v="0.24071653930655229"/>
    <n v="7.383173349555717"/>
    <n v="0"/>
    <n v="0"/>
    <n v="0"/>
    <n v="7.383173349555717"/>
  </r>
  <r>
    <x v="3"/>
    <d v="2020-05-05T00:00:00"/>
    <d v="2020-05-25T00:00:00"/>
    <x v="9"/>
    <n v="9"/>
    <n v="7"/>
    <n v="10.251577535152041"/>
    <n v="12.037191737714332"/>
    <n v="84.260342164000321"/>
    <n v="71.761042746064291"/>
    <n v="12.499299417936029"/>
    <n v="0.42125394378646647"/>
    <n v="12.920553361722495"/>
    <n v="0"/>
    <n v="0"/>
    <n v="0"/>
    <n v="12.920553361722495"/>
  </r>
  <r>
    <x v="4"/>
    <d v="2020-06-03T00:00:00"/>
    <d v="2020-06-24T00:00:00"/>
    <x v="9"/>
    <n v="9"/>
    <n v="11"/>
    <n v="10.251577535152041"/>
    <n v="12.037191737714332"/>
    <n v="132.40910911485764"/>
    <n v="112.76735288667246"/>
    <n v="19.641756228185187"/>
    <n v="0.66197048309301876"/>
    <n v="20.303726711278205"/>
    <n v="0"/>
    <n v="0"/>
    <n v="0"/>
    <n v="20.303726711278205"/>
  </r>
  <r>
    <x v="5"/>
    <d v="2020-07-03T00:00:00"/>
    <d v="2020-07-24T00:00:00"/>
    <x v="9"/>
    <n v="9"/>
    <n v="12"/>
    <n v="10.251577535152041"/>
    <n v="12.037191737714332"/>
    <n v="144.44630085257199"/>
    <n v="123.01893042182449"/>
    <n v="21.427370430747501"/>
    <n v="0.72214961791965682"/>
    <n v="22.14952004866716"/>
    <n v="0"/>
    <n v="0"/>
    <n v="0"/>
    <n v="22.14952004866716"/>
  </r>
  <r>
    <x v="6"/>
    <d v="2020-08-05T00:00:00"/>
    <d v="2020-08-24T00:00:00"/>
    <x v="9"/>
    <n v="9"/>
    <n v="18"/>
    <n v="10.251577535152041"/>
    <n v="12.037191737714332"/>
    <n v="216.66945127885799"/>
    <n v="184.52839563273673"/>
    <n v="32.141055646121259"/>
    <n v="1.0832244268794853"/>
    <n v="33.224280073000742"/>
    <n v="0"/>
    <n v="0"/>
    <n v="0"/>
    <n v="33.224280073000742"/>
  </r>
  <r>
    <x v="7"/>
    <d v="2020-09-03T00:00:00"/>
    <d v="2020-09-24T00:00:00"/>
    <x v="9"/>
    <n v="9"/>
    <n v="16"/>
    <n v="10.251577535152041"/>
    <n v="12.037191737714332"/>
    <n v="192.59506780342932"/>
    <n v="164.02524056243266"/>
    <n v="28.569827240996659"/>
    <n v="0.96286615722620916"/>
    <n v="29.532693398222868"/>
    <n v="0"/>
    <n v="0"/>
    <n v="0"/>
    <n v="29.532693398222868"/>
  </r>
  <r>
    <x v="8"/>
    <d v="2020-10-05T00:00:00"/>
    <d v="2020-10-26T00:00:00"/>
    <x v="9"/>
    <n v="9"/>
    <n v="6"/>
    <n v="10.251577535152041"/>
    <n v="12.037191737714332"/>
    <n v="72.223150426285997"/>
    <n v="61.509465210912246"/>
    <n v="10.713685215373751"/>
    <n v="0.36107480895982841"/>
    <n v="11.07476002433358"/>
    <n v="0"/>
    <n v="0"/>
    <n v="0"/>
    <n v="11.07476002433358"/>
  </r>
  <r>
    <x v="9"/>
    <d v="2020-11-04T00:00:00"/>
    <d v="2020-11-24T00:00:00"/>
    <x v="9"/>
    <n v="9"/>
    <n v="7"/>
    <n v="10.251577535152041"/>
    <n v="12.037191737714332"/>
    <n v="84.260342164000321"/>
    <n v="71.761042746064291"/>
    <n v="12.499299417936029"/>
    <n v="0.42125394378646647"/>
    <n v="12.920553361722495"/>
    <n v="0"/>
    <n v="0"/>
    <n v="0"/>
    <n v="12.920553361722495"/>
  </r>
  <r>
    <x v="10"/>
    <d v="2020-12-03T00:00:00"/>
    <d v="2020-12-24T00:00:00"/>
    <x v="9"/>
    <n v="9"/>
    <n v="6"/>
    <n v="10.251577535152041"/>
    <n v="12.037191737714332"/>
    <n v="72.223150426285997"/>
    <n v="61.509465210912246"/>
    <n v="10.713685215373751"/>
    <n v="0.36107480895982841"/>
    <n v="11.07476002433358"/>
    <n v="0"/>
    <n v="0"/>
    <n v="0"/>
    <n v="11.07476002433358"/>
  </r>
  <r>
    <x v="11"/>
    <d v="2021-01-06T00:00:00"/>
    <d v="2021-01-25T00:00:00"/>
    <x v="9"/>
    <n v="9"/>
    <n v="8"/>
    <n v="10.251577535152041"/>
    <n v="12.037191737714332"/>
    <n v="96.297533901714658"/>
    <n v="82.012620281216329"/>
    <n v="14.28491362049833"/>
    <n v="0.48143307861310458"/>
    <n v="14.766346699111434"/>
    <n v="0"/>
    <n v="0"/>
    <n v="0"/>
    <n v="14.766346699111434"/>
  </r>
  <r>
    <x v="0"/>
    <d v="2020-02-05T00:00:00"/>
    <d v="2020-02-24T00:00:00"/>
    <x v="10"/>
    <n v="9"/>
    <n v="2"/>
    <n v="10.251577535152041"/>
    <n v="12.037191737714332"/>
    <n v="24.074383475428665"/>
    <n v="20.503155070304082"/>
    <n v="3.5712284051245824"/>
    <n v="0.12035826965327615"/>
    <n v="3.6915866747778585"/>
    <n v="0"/>
    <n v="0"/>
    <n v="0"/>
    <n v="3.6915866747778585"/>
  </r>
  <r>
    <x v="1"/>
    <d v="2020-03-04T00:00:00"/>
    <d v="2020-03-24T00:00:00"/>
    <x v="10"/>
    <n v="9"/>
    <n v="3"/>
    <n v="10.251577535152041"/>
    <n v="12.037191737714332"/>
    <n v="36.111575213142999"/>
    <n v="30.754732605456123"/>
    <n v="5.3568426076868754"/>
    <n v="0.1805374044799142"/>
    <n v="5.53738001216679"/>
    <n v="0"/>
    <n v="0"/>
    <n v="0"/>
    <n v="5.53738001216679"/>
  </r>
  <r>
    <x v="2"/>
    <d v="2020-04-03T00:00:00"/>
    <d v="2020-04-24T00:00:00"/>
    <x v="10"/>
    <n v="9"/>
    <n v="1"/>
    <n v="10.251577535152041"/>
    <n v="12.037191737714332"/>
    <n v="12.037191737714332"/>
    <n v="10.251577535152041"/>
    <n v="1.7856142025622912"/>
    <n v="6.0179134826638073E-2"/>
    <n v="1.8457933373889293"/>
    <n v="0"/>
    <n v="0"/>
    <n v="0"/>
    <n v="1.8457933373889293"/>
  </r>
  <r>
    <x v="3"/>
    <d v="2020-05-05T00:00:00"/>
    <d v="2020-05-25T00:00:00"/>
    <x v="10"/>
    <n v="9"/>
    <n v="2"/>
    <n v="10.251577535152041"/>
    <n v="12.037191737714332"/>
    <n v="24.074383475428665"/>
    <n v="20.503155070304082"/>
    <n v="3.5712284051245824"/>
    <n v="0.12035826965327615"/>
    <n v="3.6915866747778585"/>
    <n v="0"/>
    <n v="0"/>
    <n v="0"/>
    <n v="3.6915866747778585"/>
  </r>
  <r>
    <x v="4"/>
    <d v="2020-06-03T00:00:00"/>
    <d v="2020-06-24T00:00:00"/>
    <x v="10"/>
    <n v="9"/>
    <n v="2"/>
    <n v="10.251577535152041"/>
    <n v="12.037191737714332"/>
    <n v="24.074383475428665"/>
    <n v="20.503155070304082"/>
    <n v="3.5712284051245824"/>
    <n v="0.12035826965327615"/>
    <n v="3.6915866747778585"/>
    <n v="0"/>
    <n v="0"/>
    <n v="0"/>
    <n v="3.6915866747778585"/>
  </r>
  <r>
    <x v="5"/>
    <d v="2020-07-03T00:00:00"/>
    <d v="2020-07-24T00:00:00"/>
    <x v="10"/>
    <n v="9"/>
    <n v="4"/>
    <n v="10.251577535152041"/>
    <n v="12.037191737714332"/>
    <n v="48.148766950857329"/>
    <n v="41.006310140608164"/>
    <n v="7.1424568102491648"/>
    <n v="0.24071653930655229"/>
    <n v="7.383173349555717"/>
    <n v="0"/>
    <n v="0"/>
    <n v="0"/>
    <n v="7.383173349555717"/>
  </r>
  <r>
    <x v="6"/>
    <d v="2020-08-05T00:00:00"/>
    <d v="2020-08-24T00:00:00"/>
    <x v="10"/>
    <n v="9"/>
    <n v="6"/>
    <n v="10.251577535152041"/>
    <n v="12.037191737714332"/>
    <n v="72.223150426285997"/>
    <n v="61.509465210912246"/>
    <n v="10.713685215373751"/>
    <n v="0.36107480895982841"/>
    <n v="11.07476002433358"/>
    <n v="0"/>
    <n v="0"/>
    <n v="0"/>
    <n v="11.07476002433358"/>
  </r>
  <r>
    <x v="7"/>
    <d v="2020-09-03T00:00:00"/>
    <d v="2020-09-24T00:00:00"/>
    <x v="10"/>
    <n v="9"/>
    <n v="5"/>
    <n v="10.251577535152041"/>
    <n v="12.037191737714332"/>
    <n v="60.18595868857166"/>
    <n v="51.257887675760202"/>
    <n v="8.9280710128114578"/>
    <n v="0.30089567413319035"/>
    <n v="9.2289666869446485"/>
    <n v="0"/>
    <n v="0"/>
    <n v="0"/>
    <n v="9.2289666869446485"/>
  </r>
  <r>
    <x v="8"/>
    <d v="2020-10-05T00:00:00"/>
    <d v="2020-10-26T00:00:00"/>
    <x v="10"/>
    <n v="9"/>
    <n v="2"/>
    <n v="10.251577535152041"/>
    <n v="12.037191737714332"/>
    <n v="24.074383475428665"/>
    <n v="20.503155070304082"/>
    <n v="3.5712284051245824"/>
    <n v="0.12035826965327615"/>
    <n v="3.6915866747778585"/>
    <n v="0"/>
    <n v="0"/>
    <n v="0"/>
    <n v="3.6915866747778585"/>
  </r>
  <r>
    <x v="9"/>
    <d v="2020-11-04T00:00:00"/>
    <d v="2020-11-24T00:00:00"/>
    <x v="10"/>
    <n v="9"/>
    <n v="1"/>
    <n v="10.251577535152041"/>
    <n v="12.037191737714332"/>
    <n v="12.037191737714332"/>
    <n v="10.251577535152041"/>
    <n v="1.7856142025622912"/>
    <n v="6.0179134826638073E-2"/>
    <n v="1.8457933373889293"/>
    <n v="0"/>
    <n v="0"/>
    <n v="0"/>
    <n v="1.8457933373889293"/>
  </r>
  <r>
    <x v="10"/>
    <d v="2020-12-03T00:00:00"/>
    <d v="2020-12-24T00:00:00"/>
    <x v="10"/>
    <n v="9"/>
    <n v="3"/>
    <n v="10.251577535152041"/>
    <n v="12.037191737714332"/>
    <n v="36.111575213142999"/>
    <n v="30.754732605456123"/>
    <n v="5.3568426076868754"/>
    <n v="0.1805374044799142"/>
    <n v="5.53738001216679"/>
    <n v="0"/>
    <n v="0"/>
    <n v="0"/>
    <n v="5.53738001216679"/>
  </r>
  <r>
    <x v="11"/>
    <d v="2021-01-06T00:00:00"/>
    <d v="2021-01-25T00:00:00"/>
    <x v="10"/>
    <n v="9"/>
    <n v="1"/>
    <n v="10.251577535152041"/>
    <n v="12.037191737714332"/>
    <n v="12.037191737714332"/>
    <n v="10.251577535152041"/>
    <n v="1.7856142025622912"/>
    <n v="6.0179134826638073E-2"/>
    <n v="1.8457933373889293"/>
    <n v="0"/>
    <n v="0"/>
    <n v="0"/>
    <n v="1.8457933373889293"/>
  </r>
  <r>
    <x v="0"/>
    <d v="2020-02-05T00:00:00"/>
    <d v="2020-02-24T00:00:00"/>
    <x v="11"/>
    <n v="9"/>
    <n v="109"/>
    <n v="10.251577535152041"/>
    <n v="12.037191737714332"/>
    <n v="1312.0538994108622"/>
    <n v="1117.4219513315725"/>
    <n v="194.63194807928971"/>
    <n v="6.5595256961035497"/>
    <n v="201.19147377539326"/>
    <n v="0"/>
    <n v="0"/>
    <n v="0"/>
    <n v="201.19147377539326"/>
  </r>
  <r>
    <x v="1"/>
    <d v="2020-03-04T00:00:00"/>
    <d v="2020-03-24T00:00:00"/>
    <x v="11"/>
    <n v="9"/>
    <n v="104"/>
    <n v="10.251577535152041"/>
    <n v="12.037191737714332"/>
    <n v="1251.8679407222905"/>
    <n v="1066.1640636558122"/>
    <n v="185.7038770664783"/>
    <n v="6.2586300219703599"/>
    <n v="191.96250708844866"/>
    <n v="0"/>
    <n v="0"/>
    <n v="0"/>
    <n v="191.96250708844866"/>
  </r>
  <r>
    <x v="2"/>
    <d v="2020-04-03T00:00:00"/>
    <d v="2020-04-24T00:00:00"/>
    <x v="11"/>
    <n v="9"/>
    <n v="87"/>
    <n v="10.251577535152041"/>
    <n v="12.037191737714332"/>
    <n v="1047.2356811811469"/>
    <n v="891.88724555822762"/>
    <n v="155.34843562291928"/>
    <n v="5.2355847299175124"/>
    <n v="160.5840203528368"/>
    <n v="0"/>
    <n v="0"/>
    <n v="0"/>
    <n v="160.5840203528368"/>
  </r>
  <r>
    <x v="3"/>
    <d v="2020-05-05T00:00:00"/>
    <d v="2020-05-25T00:00:00"/>
    <x v="11"/>
    <n v="9"/>
    <n v="102"/>
    <n v="10.251577535152041"/>
    <n v="12.037191737714332"/>
    <n v="1227.7935572468618"/>
    <n v="1045.6609085855082"/>
    <n v="182.13264866135364"/>
    <n v="6.1382717523170838"/>
    <n v="188.27092041367072"/>
    <n v="0"/>
    <n v="0"/>
    <n v="0"/>
    <n v="188.27092041367072"/>
  </r>
  <r>
    <x v="4"/>
    <d v="2020-06-03T00:00:00"/>
    <d v="2020-06-24T00:00:00"/>
    <x v="11"/>
    <n v="9"/>
    <n v="92"/>
    <n v="10.251577535152041"/>
    <n v="12.037191737714332"/>
    <n v="1107.4216398697185"/>
    <n v="943.14513323398774"/>
    <n v="164.27650663573081"/>
    <n v="5.5364804040507023"/>
    <n v="169.81298703978152"/>
    <n v="0"/>
    <n v="0"/>
    <n v="0"/>
    <n v="169.81298703978152"/>
  </r>
  <r>
    <x v="5"/>
    <d v="2020-07-03T00:00:00"/>
    <d v="2020-07-24T00:00:00"/>
    <x v="11"/>
    <n v="9"/>
    <n v="143"/>
    <n v="10.251577535152041"/>
    <n v="12.037191737714332"/>
    <n v="1721.3184184931495"/>
    <n v="1465.9755875267419"/>
    <n v="255.34283096640752"/>
    <n v="8.6056162802092437"/>
    <n v="263.94844724661675"/>
    <n v="0"/>
    <n v="0"/>
    <n v="0"/>
    <n v="263.94844724661675"/>
  </r>
  <r>
    <x v="6"/>
    <d v="2020-08-05T00:00:00"/>
    <d v="2020-08-24T00:00:00"/>
    <x v="11"/>
    <n v="9"/>
    <n v="138"/>
    <n v="10.251577535152041"/>
    <n v="12.037191737714332"/>
    <n v="1661.1324598045778"/>
    <n v="1414.7176998509817"/>
    <n v="246.4147599535961"/>
    <n v="8.304720606076053"/>
    <n v="254.71948055967215"/>
    <n v="0"/>
    <n v="0"/>
    <n v="0"/>
    <n v="254.71948055967215"/>
  </r>
  <r>
    <x v="7"/>
    <d v="2020-09-03T00:00:00"/>
    <d v="2020-09-24T00:00:00"/>
    <x v="11"/>
    <n v="9"/>
    <n v="152"/>
    <n v="10.251577535152041"/>
    <n v="12.037191737714332"/>
    <n v="1829.6531441325785"/>
    <n v="1558.2397853431103"/>
    <n v="271.41335878946825"/>
    <n v="9.1472284936489885"/>
    <n v="280.56058728311723"/>
    <n v="0"/>
    <n v="0"/>
    <n v="0"/>
    <n v="280.56058728311723"/>
  </r>
  <r>
    <x v="8"/>
    <d v="2020-10-05T00:00:00"/>
    <d v="2020-10-26T00:00:00"/>
    <x v="11"/>
    <n v="9"/>
    <n v="136"/>
    <n v="10.251577535152041"/>
    <n v="12.037191737714332"/>
    <n v="1637.0580763291491"/>
    <n v="1394.2145447806777"/>
    <n v="242.84353154847145"/>
    <n v="8.1843623364227778"/>
    <n v="251.02789388489421"/>
    <n v="0"/>
    <n v="0"/>
    <n v="0"/>
    <n v="251.02789388489421"/>
  </r>
  <r>
    <x v="9"/>
    <d v="2020-11-04T00:00:00"/>
    <d v="2020-11-24T00:00:00"/>
    <x v="11"/>
    <n v="9"/>
    <n v="107"/>
    <n v="10.251577535152041"/>
    <n v="12.037191737714332"/>
    <n v="1287.9795159354335"/>
    <n v="1096.9187962612684"/>
    <n v="191.06071967416506"/>
    <n v="6.4391674264502745"/>
    <n v="197.49988710061533"/>
    <n v="0"/>
    <n v="0"/>
    <n v="0"/>
    <n v="197.49988710061533"/>
  </r>
  <r>
    <x v="10"/>
    <d v="2020-12-03T00:00:00"/>
    <d v="2020-12-24T00:00:00"/>
    <x v="11"/>
    <n v="9"/>
    <n v="95"/>
    <n v="10.251577535152041"/>
    <n v="12.037191737714332"/>
    <n v="1143.5332150828615"/>
    <n v="973.89986583944392"/>
    <n v="169.63334924341757"/>
    <n v="5.717017808530616"/>
    <n v="175.35036705194818"/>
    <n v="0"/>
    <n v="0"/>
    <n v="0"/>
    <n v="175.35036705194818"/>
  </r>
  <r>
    <x v="11"/>
    <d v="2021-01-06T00:00:00"/>
    <d v="2021-01-25T00:00:00"/>
    <x v="11"/>
    <n v="9"/>
    <n v="99"/>
    <n v="10.251577535152041"/>
    <n v="12.037191737714332"/>
    <n v="1191.6819820337189"/>
    <n v="1014.906175980052"/>
    <n v="176.77580605366688"/>
    <n v="5.9577343478371692"/>
    <n v="182.73354040150406"/>
    <n v="0"/>
    <n v="0"/>
    <n v="0"/>
    <n v="182.73354040150406"/>
  </r>
  <r>
    <x v="0"/>
    <d v="2020-02-05T00:00:00"/>
    <d v="2020-02-24T00:00:00"/>
    <x v="12"/>
    <n v="9"/>
    <n v="11"/>
    <n v="10.251577535152041"/>
    <n v="12.037191737714332"/>
    <n v="132.40910911485764"/>
    <n v="112.76735288667246"/>
    <n v="19.641756228185187"/>
    <n v="0.66197048309301876"/>
    <n v="20.303726711278205"/>
    <n v="0"/>
    <n v="0"/>
    <n v="0"/>
    <n v="20.303726711278205"/>
  </r>
  <r>
    <x v="1"/>
    <d v="2020-03-04T00:00:00"/>
    <d v="2020-03-24T00:00:00"/>
    <x v="12"/>
    <n v="9"/>
    <n v="10"/>
    <n v="10.251577535152041"/>
    <n v="12.037191737714332"/>
    <n v="120.37191737714332"/>
    <n v="102.5157753515204"/>
    <n v="17.856142025622916"/>
    <n v="0.6017913482663807"/>
    <n v="18.457933373889297"/>
    <n v="0"/>
    <n v="0"/>
    <n v="0"/>
    <n v="18.457933373889297"/>
  </r>
  <r>
    <x v="2"/>
    <d v="2020-04-03T00:00:00"/>
    <d v="2020-04-24T00:00:00"/>
    <x v="12"/>
    <n v="9"/>
    <n v="10"/>
    <n v="10.251577535152041"/>
    <n v="12.037191737714332"/>
    <n v="120.37191737714332"/>
    <n v="102.5157753515204"/>
    <n v="17.856142025622916"/>
    <n v="0.6017913482663807"/>
    <n v="18.457933373889297"/>
    <n v="0"/>
    <n v="0"/>
    <n v="0"/>
    <n v="18.457933373889297"/>
  </r>
  <r>
    <x v="3"/>
    <d v="2020-05-05T00:00:00"/>
    <d v="2020-05-25T00:00:00"/>
    <x v="12"/>
    <n v="9"/>
    <n v="7"/>
    <n v="10.251577535152041"/>
    <n v="12.037191737714332"/>
    <n v="84.260342164000321"/>
    <n v="71.761042746064291"/>
    <n v="12.499299417936029"/>
    <n v="0.42125394378646647"/>
    <n v="12.920553361722495"/>
    <n v="0"/>
    <n v="0"/>
    <n v="0"/>
    <n v="12.920553361722495"/>
  </r>
  <r>
    <x v="4"/>
    <d v="2020-06-03T00:00:00"/>
    <d v="2020-06-24T00:00:00"/>
    <x v="12"/>
    <n v="9"/>
    <n v="13"/>
    <n v="10.251577535152041"/>
    <n v="12.037191737714332"/>
    <n v="156.48349259028632"/>
    <n v="133.27050795697653"/>
    <n v="23.212984633309787"/>
    <n v="0.78232875274629499"/>
    <n v="23.995313386056083"/>
    <n v="0"/>
    <n v="0"/>
    <n v="0"/>
    <n v="23.995313386056083"/>
  </r>
  <r>
    <x v="5"/>
    <d v="2020-07-03T00:00:00"/>
    <d v="2020-07-24T00:00:00"/>
    <x v="12"/>
    <n v="9"/>
    <n v="12"/>
    <n v="10.251577535152041"/>
    <n v="12.037191737714332"/>
    <n v="144.44630085257199"/>
    <n v="123.01893042182449"/>
    <n v="21.427370430747501"/>
    <n v="0.72214961791965682"/>
    <n v="22.14952004866716"/>
    <n v="0"/>
    <n v="0"/>
    <n v="0"/>
    <n v="22.14952004866716"/>
  </r>
  <r>
    <x v="6"/>
    <d v="2020-08-05T00:00:00"/>
    <d v="2020-08-24T00:00:00"/>
    <x v="12"/>
    <n v="9"/>
    <n v="15"/>
    <n v="10.251577535152041"/>
    <n v="12.037191737714332"/>
    <n v="180.55787606571499"/>
    <n v="153.77366302728061"/>
    <n v="26.784213038434387"/>
    <n v="0.9026870223995711"/>
    <n v="27.68690006083396"/>
    <n v="0"/>
    <n v="0"/>
    <n v="0"/>
    <n v="27.68690006083396"/>
  </r>
  <r>
    <x v="7"/>
    <d v="2020-09-03T00:00:00"/>
    <d v="2020-09-24T00:00:00"/>
    <x v="12"/>
    <n v="9"/>
    <n v="12"/>
    <n v="10.251577535152041"/>
    <n v="12.037191737714332"/>
    <n v="144.44630085257199"/>
    <n v="123.01893042182449"/>
    <n v="21.427370430747501"/>
    <n v="0.72214961791965682"/>
    <n v="22.14952004866716"/>
    <n v="0"/>
    <n v="0"/>
    <n v="0"/>
    <n v="22.14952004866716"/>
  </r>
  <r>
    <x v="8"/>
    <d v="2020-10-05T00:00:00"/>
    <d v="2020-10-26T00:00:00"/>
    <x v="12"/>
    <n v="9"/>
    <n v="14"/>
    <n v="10.251577535152041"/>
    <n v="12.037191737714332"/>
    <n v="168.52068432800064"/>
    <n v="143.52208549212858"/>
    <n v="24.998598835872059"/>
    <n v="0.84250788757293293"/>
    <n v="25.841106723444991"/>
    <n v="0"/>
    <n v="0"/>
    <n v="0"/>
    <n v="25.841106723444991"/>
  </r>
  <r>
    <x v="9"/>
    <d v="2020-11-04T00:00:00"/>
    <d v="2020-11-24T00:00:00"/>
    <x v="12"/>
    <n v="9"/>
    <n v="11"/>
    <n v="10.251577535152041"/>
    <n v="12.037191737714332"/>
    <n v="132.40910911485764"/>
    <n v="112.76735288667246"/>
    <n v="19.641756228185187"/>
    <n v="0.66197048309301876"/>
    <n v="20.303726711278205"/>
    <n v="0"/>
    <n v="0"/>
    <n v="0"/>
    <n v="20.303726711278205"/>
  </r>
  <r>
    <x v="10"/>
    <d v="2020-12-03T00:00:00"/>
    <d v="2020-12-24T00:00:00"/>
    <x v="12"/>
    <n v="9"/>
    <n v="9"/>
    <n v="10.251577535152041"/>
    <n v="12.037191737714332"/>
    <n v="108.334725639429"/>
    <n v="92.264197816368366"/>
    <n v="16.07052782306063"/>
    <n v="0.54161221343974264"/>
    <n v="16.612140036500371"/>
    <n v="0"/>
    <n v="0"/>
    <n v="0"/>
    <n v="16.612140036500371"/>
  </r>
  <r>
    <x v="11"/>
    <d v="2021-01-06T00:00:00"/>
    <d v="2021-01-25T00:00:00"/>
    <x v="12"/>
    <n v="9"/>
    <n v="8"/>
    <n v="10.251577535152041"/>
    <n v="12.037191737714332"/>
    <n v="96.297533901714658"/>
    <n v="82.012620281216329"/>
    <n v="14.28491362049833"/>
    <n v="0.48143307861310458"/>
    <n v="14.766346699111434"/>
    <n v="0"/>
    <n v="0"/>
    <n v="0"/>
    <n v="14.766346699111434"/>
  </r>
  <r>
    <x v="0"/>
    <d v="2020-02-05T00:00:00"/>
    <d v="2020-02-24T00:00:00"/>
    <x v="13"/>
    <n v="9"/>
    <n v="20"/>
    <n v="10.251577535152041"/>
    <n v="12.037191737714332"/>
    <n v="240.74383475428664"/>
    <n v="205.03155070304081"/>
    <n v="35.712284051245831"/>
    <n v="1.2035826965327614"/>
    <n v="36.915866747778594"/>
    <n v="0"/>
    <n v="0"/>
    <n v="0"/>
    <n v="36.915866747778594"/>
  </r>
  <r>
    <x v="1"/>
    <d v="2020-03-04T00:00:00"/>
    <d v="2020-03-24T00:00:00"/>
    <x v="13"/>
    <n v="9"/>
    <n v="19"/>
    <n v="10.251577535152041"/>
    <n v="12.037191737714332"/>
    <n v="228.70664301657231"/>
    <n v="194.77997316788878"/>
    <n v="33.926669848683531"/>
    <n v="1.1434035617061236"/>
    <n v="35.070073410389654"/>
    <n v="0"/>
    <n v="0"/>
    <n v="0"/>
    <n v="35.070073410389654"/>
  </r>
  <r>
    <x v="2"/>
    <d v="2020-04-03T00:00:00"/>
    <d v="2020-04-24T00:00:00"/>
    <x v="13"/>
    <n v="9"/>
    <n v="19"/>
    <n v="10.251577535152041"/>
    <n v="12.037191737714332"/>
    <n v="228.70664301657231"/>
    <n v="194.77997316788878"/>
    <n v="33.926669848683531"/>
    <n v="1.1434035617061236"/>
    <n v="35.070073410389654"/>
    <n v="0"/>
    <n v="0"/>
    <n v="0"/>
    <n v="35.070073410389654"/>
  </r>
  <r>
    <x v="3"/>
    <d v="2020-05-05T00:00:00"/>
    <d v="2020-05-25T00:00:00"/>
    <x v="13"/>
    <n v="9"/>
    <n v="21"/>
    <n v="10.251577535152041"/>
    <n v="12.037191737714332"/>
    <n v="252.78102649200099"/>
    <n v="215.28312823819286"/>
    <n v="37.497898253808131"/>
    <n v="1.2637618313593995"/>
    <n v="38.761660085167527"/>
    <n v="0"/>
    <n v="0"/>
    <n v="0"/>
    <n v="38.761660085167527"/>
  </r>
  <r>
    <x v="4"/>
    <d v="2020-06-03T00:00:00"/>
    <d v="2020-06-24T00:00:00"/>
    <x v="13"/>
    <n v="9"/>
    <n v="23"/>
    <n v="10.251577535152041"/>
    <n v="12.037191737714332"/>
    <n v="276.85540996742964"/>
    <n v="235.78628330849693"/>
    <n v="41.069126658932703"/>
    <n v="1.3841201010126756"/>
    <n v="42.45324675994538"/>
    <n v="0"/>
    <n v="0"/>
    <n v="0"/>
    <n v="42.45324675994538"/>
  </r>
  <r>
    <x v="5"/>
    <d v="2020-07-03T00:00:00"/>
    <d v="2020-07-24T00:00:00"/>
    <x v="13"/>
    <n v="9"/>
    <n v="29"/>
    <n v="10.251577535152041"/>
    <n v="12.037191737714332"/>
    <n v="349.07856039371563"/>
    <n v="297.29574851940919"/>
    <n v="51.782811874306446"/>
    <n v="1.7451949099725041"/>
    <n v="53.528006784278951"/>
    <n v="0"/>
    <n v="0"/>
    <n v="0"/>
    <n v="53.528006784278951"/>
  </r>
  <r>
    <x v="6"/>
    <d v="2020-08-05T00:00:00"/>
    <d v="2020-08-24T00:00:00"/>
    <x v="13"/>
    <n v="9"/>
    <n v="33"/>
    <n v="10.251577535152041"/>
    <n v="12.037191737714332"/>
    <n v="397.22732734457298"/>
    <n v="338.30205866001734"/>
    <n v="58.925268684555647"/>
    <n v="1.9859114492790564"/>
    <n v="60.911180133834705"/>
    <n v="0"/>
    <n v="0"/>
    <n v="0"/>
    <n v="60.911180133834705"/>
  </r>
  <r>
    <x v="7"/>
    <d v="2020-09-03T00:00:00"/>
    <d v="2020-09-24T00:00:00"/>
    <x v="13"/>
    <n v="9"/>
    <n v="34"/>
    <n v="10.251577535152041"/>
    <n v="12.037191737714332"/>
    <n v="409.26451908228728"/>
    <n v="348.55363619516942"/>
    <n v="60.710882887117862"/>
    <n v="2.0460905841056944"/>
    <n v="62.756973471223553"/>
    <n v="0"/>
    <n v="0"/>
    <n v="0"/>
    <n v="62.756973471223553"/>
  </r>
  <r>
    <x v="8"/>
    <d v="2020-10-05T00:00:00"/>
    <d v="2020-10-26T00:00:00"/>
    <x v="13"/>
    <n v="9"/>
    <n v="30"/>
    <n v="10.251577535152041"/>
    <n v="12.037191737714332"/>
    <n v="361.11575213142999"/>
    <n v="307.54732605456121"/>
    <n v="53.568426076868775"/>
    <n v="1.8053740447991422"/>
    <n v="55.373800121667919"/>
    <n v="0"/>
    <n v="0"/>
    <n v="0"/>
    <n v="55.373800121667919"/>
  </r>
  <r>
    <x v="9"/>
    <d v="2020-11-04T00:00:00"/>
    <d v="2020-11-24T00:00:00"/>
    <x v="13"/>
    <n v="9"/>
    <n v="21"/>
    <n v="10.251577535152041"/>
    <n v="12.037191737714332"/>
    <n v="252.78102649200099"/>
    <n v="215.28312823819286"/>
    <n v="37.497898253808131"/>
    <n v="1.2637618313593995"/>
    <n v="38.761660085167527"/>
    <n v="0"/>
    <n v="0"/>
    <n v="0"/>
    <n v="38.761660085167527"/>
  </r>
  <r>
    <x v="10"/>
    <d v="2020-12-03T00:00:00"/>
    <d v="2020-12-24T00:00:00"/>
    <x v="13"/>
    <n v="9"/>
    <n v="16"/>
    <n v="10.251577535152041"/>
    <n v="12.037191737714332"/>
    <n v="192.59506780342932"/>
    <n v="164.02524056243266"/>
    <n v="28.569827240996659"/>
    <n v="0.96286615722620916"/>
    <n v="29.532693398222868"/>
    <n v="0"/>
    <n v="0"/>
    <n v="0"/>
    <n v="29.532693398222868"/>
  </r>
  <r>
    <x v="11"/>
    <d v="2021-01-06T00:00:00"/>
    <d v="2021-01-25T00:00:00"/>
    <x v="13"/>
    <n v="9"/>
    <n v="19"/>
    <n v="10.251577535152041"/>
    <n v="12.037191737714332"/>
    <n v="228.70664301657231"/>
    <n v="194.77997316788878"/>
    <n v="33.926669848683531"/>
    <n v="1.1434035617061236"/>
    <n v="35.070073410389654"/>
    <n v="0"/>
    <n v="0"/>
    <n v="0"/>
    <n v="35.070073410389654"/>
  </r>
  <r>
    <x v="0"/>
    <d v="2020-02-05T00:00:00"/>
    <d v="2020-02-24T00:00:00"/>
    <x v="14"/>
    <n v="9"/>
    <n v="35"/>
    <n v="10.251577535152041"/>
    <n v="12.037191737714332"/>
    <n v="421.30171082000163"/>
    <n v="358.80521373032144"/>
    <n v="62.49649708968019"/>
    <n v="2.1062697189323325"/>
    <n v="64.602766808612529"/>
    <n v="0"/>
    <n v="0"/>
    <n v="0"/>
    <n v="64.602766808612529"/>
  </r>
  <r>
    <x v="1"/>
    <d v="2020-03-04T00:00:00"/>
    <d v="2020-03-24T00:00:00"/>
    <x v="14"/>
    <n v="9"/>
    <n v="34"/>
    <n v="10.251577535152041"/>
    <n v="12.037191737714332"/>
    <n v="409.26451908228728"/>
    <n v="348.55363619516942"/>
    <n v="60.710882887117862"/>
    <n v="2.0460905841056944"/>
    <n v="62.756973471223553"/>
    <n v="0"/>
    <n v="0"/>
    <n v="0"/>
    <n v="62.756973471223553"/>
  </r>
  <r>
    <x v="2"/>
    <d v="2020-04-03T00:00:00"/>
    <d v="2020-04-24T00:00:00"/>
    <x v="14"/>
    <n v="9"/>
    <n v="30"/>
    <n v="10.251577535152041"/>
    <n v="12.037191737714332"/>
    <n v="361.11575213142999"/>
    <n v="307.54732605456121"/>
    <n v="53.568426076868775"/>
    <n v="1.8053740447991422"/>
    <n v="55.373800121667919"/>
    <n v="0"/>
    <n v="0"/>
    <n v="0"/>
    <n v="55.373800121667919"/>
  </r>
  <r>
    <x v="3"/>
    <d v="2020-05-05T00:00:00"/>
    <d v="2020-05-25T00:00:00"/>
    <x v="14"/>
    <n v="9"/>
    <n v="32"/>
    <n v="10.251577535152041"/>
    <n v="12.037191737714332"/>
    <n v="385.19013560685863"/>
    <n v="328.05048112486531"/>
    <n v="57.139654481993318"/>
    <n v="1.9257323144524183"/>
    <n v="59.065386796445736"/>
    <n v="0"/>
    <n v="0"/>
    <n v="0"/>
    <n v="59.065386796445736"/>
  </r>
  <r>
    <x v="4"/>
    <d v="2020-06-03T00:00:00"/>
    <d v="2020-06-24T00:00:00"/>
    <x v="14"/>
    <n v="9"/>
    <n v="36"/>
    <n v="10.251577535152041"/>
    <n v="12.037191737714332"/>
    <n v="433.33890255771598"/>
    <n v="369.05679126547346"/>
    <n v="64.282111292242519"/>
    <n v="2.1664488537589706"/>
    <n v="66.448560146001483"/>
    <n v="0"/>
    <n v="0"/>
    <n v="0"/>
    <n v="66.448560146001483"/>
  </r>
  <r>
    <x v="5"/>
    <d v="2020-07-03T00:00:00"/>
    <d v="2020-07-24T00:00:00"/>
    <x v="14"/>
    <n v="9"/>
    <n v="42"/>
    <n v="10.251577535152041"/>
    <n v="12.037191737714332"/>
    <n v="505.56205298400198"/>
    <n v="430.56625647638572"/>
    <n v="74.995796507616262"/>
    <n v="2.5275236627187989"/>
    <n v="77.523320170335055"/>
    <n v="0"/>
    <n v="0"/>
    <n v="0"/>
    <n v="77.523320170335055"/>
  </r>
  <r>
    <x v="6"/>
    <d v="2020-08-05T00:00:00"/>
    <d v="2020-08-24T00:00:00"/>
    <x v="14"/>
    <n v="9"/>
    <n v="47"/>
    <n v="10.251577535152041"/>
    <n v="12.037191737714332"/>
    <n v="565.74801167257363"/>
    <n v="481.82414415214595"/>
    <n v="83.923867520427677"/>
    <n v="2.8284193368519897"/>
    <n v="86.752286857279671"/>
    <n v="0"/>
    <n v="0"/>
    <n v="0"/>
    <n v="86.752286857279671"/>
  </r>
  <r>
    <x v="7"/>
    <d v="2020-09-03T00:00:00"/>
    <d v="2020-09-24T00:00:00"/>
    <x v="14"/>
    <n v="9"/>
    <n v="48"/>
    <n v="10.251577535152041"/>
    <n v="12.037191737714332"/>
    <n v="577.78520341028798"/>
    <n v="492.07572168729797"/>
    <n v="85.709481722990006"/>
    <n v="2.8885984716786273"/>
    <n v="88.59808019466864"/>
    <n v="0"/>
    <n v="0"/>
    <n v="0"/>
    <n v="88.59808019466864"/>
  </r>
  <r>
    <x v="8"/>
    <d v="2020-10-05T00:00:00"/>
    <d v="2020-10-26T00:00:00"/>
    <x v="14"/>
    <n v="9"/>
    <n v="44"/>
    <n v="10.251577535152041"/>
    <n v="12.037191737714332"/>
    <n v="529.63643645943057"/>
    <n v="451.06941154668982"/>
    <n v="78.567024912740749"/>
    <n v="2.647881932372075"/>
    <n v="81.214906845112822"/>
    <n v="0"/>
    <n v="0"/>
    <n v="0"/>
    <n v="81.214906845112822"/>
  </r>
  <r>
    <x v="9"/>
    <d v="2020-11-04T00:00:00"/>
    <d v="2020-11-24T00:00:00"/>
    <x v="14"/>
    <n v="9"/>
    <n v="30"/>
    <n v="10.251577535152041"/>
    <n v="12.037191737714332"/>
    <n v="361.11575213142999"/>
    <n v="307.54732605456121"/>
    <n v="53.568426076868775"/>
    <n v="1.8053740447991422"/>
    <n v="55.373800121667919"/>
    <n v="0"/>
    <n v="0"/>
    <n v="0"/>
    <n v="55.373800121667919"/>
  </r>
  <r>
    <x v="10"/>
    <d v="2020-12-03T00:00:00"/>
    <d v="2020-12-24T00:00:00"/>
    <x v="14"/>
    <n v="9"/>
    <n v="31"/>
    <n v="10.251577535152041"/>
    <n v="12.037191737714332"/>
    <n v="373.15294386914428"/>
    <n v="317.79890358971329"/>
    <n v="55.35404027943099"/>
    <n v="1.86555317962578"/>
    <n v="57.219593459056767"/>
    <n v="0"/>
    <n v="0"/>
    <n v="0"/>
    <n v="57.219593459056767"/>
  </r>
  <r>
    <x v="11"/>
    <d v="2021-01-06T00:00:00"/>
    <d v="2021-01-25T00:00:00"/>
    <x v="14"/>
    <n v="9"/>
    <n v="34"/>
    <n v="10.251577535152041"/>
    <n v="12.037191737714332"/>
    <n v="409.26451908228728"/>
    <n v="348.55363619516942"/>
    <n v="60.710882887117862"/>
    <n v="2.0460905841056944"/>
    <n v="62.756973471223553"/>
    <n v="0"/>
    <n v="0"/>
    <n v="0"/>
    <n v="62.756973471223553"/>
  </r>
  <r>
    <x v="0"/>
    <d v="2020-02-05T00:00:00"/>
    <d v="2020-02-24T00:00:00"/>
    <x v="15"/>
    <n v="9"/>
    <n v="106"/>
    <n v="10.251577535152041"/>
    <n v="12.037191737714332"/>
    <n v="1275.9423241977192"/>
    <n v="1086.6672187261163"/>
    <n v="189.27510547160296"/>
    <n v="6.378988291623636"/>
    <n v="195.6540937632266"/>
    <n v="0"/>
    <n v="0"/>
    <n v="0"/>
    <n v="195.6540937632266"/>
  </r>
  <r>
    <x v="1"/>
    <d v="2020-03-04T00:00:00"/>
    <d v="2020-03-24T00:00:00"/>
    <x v="15"/>
    <n v="9"/>
    <n v="103"/>
    <n v="10.251577535152041"/>
    <n v="12.037191737714332"/>
    <n v="1239.8307489845763"/>
    <n v="1055.9124861206603"/>
    <n v="183.91826286391597"/>
    <n v="6.1984508871437214"/>
    <n v="190.11671375105971"/>
    <n v="0"/>
    <n v="0"/>
    <n v="0"/>
    <n v="190.11671375105971"/>
  </r>
  <r>
    <x v="2"/>
    <d v="2020-04-03T00:00:00"/>
    <d v="2020-04-24T00:00:00"/>
    <x v="15"/>
    <n v="9"/>
    <n v="26"/>
    <n v="10.251577535152041"/>
    <n v="12.037191737714332"/>
    <n v="312.96698518057264"/>
    <n v="266.54101591395306"/>
    <n v="46.425969266619575"/>
    <n v="1.56465750549259"/>
    <n v="47.990626772112165"/>
    <n v="0"/>
    <n v="0"/>
    <n v="0"/>
    <n v="47.990626772112165"/>
  </r>
  <r>
    <x v="3"/>
    <d v="2020-05-05T00:00:00"/>
    <d v="2020-05-25T00:00:00"/>
    <x v="15"/>
    <n v="9"/>
    <n v="97"/>
    <n v="10.251577535152041"/>
    <n v="12.037191737714332"/>
    <n v="1167.6075985582902"/>
    <n v="994.40302090974797"/>
    <n v="173.20457764854223"/>
    <n v="5.837376078183893"/>
    <n v="179.04195372672612"/>
    <n v="0"/>
    <n v="0"/>
    <n v="0"/>
    <n v="179.04195372672612"/>
  </r>
  <r>
    <x v="4"/>
    <d v="2020-06-03T00:00:00"/>
    <d v="2020-06-24T00:00:00"/>
    <x v="15"/>
    <n v="9"/>
    <n v="80"/>
    <n v="10.251577535152041"/>
    <n v="12.037191737714332"/>
    <n v="962.97533901714655"/>
    <n v="820.12620281216323"/>
    <n v="142.84913620498332"/>
    <n v="4.8143307861310456"/>
    <n v="147.66346699111438"/>
    <n v="0"/>
    <n v="0"/>
    <n v="0"/>
    <n v="147.66346699111438"/>
  </r>
  <r>
    <x v="5"/>
    <d v="2020-07-03T00:00:00"/>
    <d v="2020-07-24T00:00:00"/>
    <x v="15"/>
    <n v="9"/>
    <n v="99"/>
    <n v="10.251577535152041"/>
    <n v="12.037191737714332"/>
    <n v="1191.6819820337189"/>
    <n v="1014.906175980052"/>
    <n v="176.77580605366688"/>
    <n v="5.9577343478371692"/>
    <n v="182.73354040150406"/>
    <n v="0"/>
    <n v="0"/>
    <n v="0"/>
    <n v="182.73354040150406"/>
  </r>
  <r>
    <x v="6"/>
    <d v="2020-08-05T00:00:00"/>
    <d v="2020-08-24T00:00:00"/>
    <x v="15"/>
    <n v="9"/>
    <n v="111"/>
    <n v="10.251577535152041"/>
    <n v="12.037191737714332"/>
    <n v="1336.1282828862909"/>
    <n v="1137.9251064018765"/>
    <n v="198.20317648441437"/>
    <n v="6.6798839657568259"/>
    <n v="204.8830604501712"/>
    <n v="0"/>
    <n v="0"/>
    <n v="0"/>
    <n v="204.8830604501712"/>
  </r>
  <r>
    <x v="7"/>
    <d v="2020-09-03T00:00:00"/>
    <d v="2020-09-24T00:00:00"/>
    <x v="15"/>
    <n v="9"/>
    <n v="112"/>
    <n v="10.251577535152041"/>
    <n v="12.037191737714332"/>
    <n v="1348.1654746240051"/>
    <n v="1148.1766839370287"/>
    <n v="199.98879068697647"/>
    <n v="6.7400631005834635"/>
    <n v="206.72885378755993"/>
    <n v="0"/>
    <n v="0"/>
    <n v="0"/>
    <n v="206.72885378755993"/>
  </r>
  <r>
    <x v="8"/>
    <d v="2020-10-05T00:00:00"/>
    <d v="2020-10-26T00:00:00"/>
    <x v="15"/>
    <n v="9"/>
    <n v="114"/>
    <n v="10.251577535152041"/>
    <n v="12.037191737714332"/>
    <n v="1372.2398580994338"/>
    <n v="1168.6798390073327"/>
    <n v="203.56001909210113"/>
    <n v="6.8604213702367405"/>
    <n v="210.42044046233787"/>
    <n v="0"/>
    <n v="0"/>
    <n v="0"/>
    <n v="210.42044046233787"/>
  </r>
  <r>
    <x v="9"/>
    <d v="2020-11-04T00:00:00"/>
    <d v="2020-11-24T00:00:00"/>
    <x v="15"/>
    <n v="9"/>
    <n v="96"/>
    <n v="10.251577535152041"/>
    <n v="12.037191737714332"/>
    <n v="1155.570406820576"/>
    <n v="984.15144337459594"/>
    <n v="171.41896344598001"/>
    <n v="5.7771969433572545"/>
    <n v="177.19616038933728"/>
    <n v="0"/>
    <n v="0"/>
    <n v="0"/>
    <n v="177.19616038933728"/>
  </r>
  <r>
    <x v="10"/>
    <d v="2020-12-03T00:00:00"/>
    <d v="2020-12-24T00:00:00"/>
    <x v="15"/>
    <n v="9"/>
    <n v="100"/>
    <n v="10.251577535152041"/>
    <n v="12.037191737714332"/>
    <n v="1203.7191737714331"/>
    <n v="1025.1577535152041"/>
    <n v="178.56142025622898"/>
    <n v="6.0179134826638068"/>
    <n v="184.57933373889279"/>
    <n v="0"/>
    <n v="0"/>
    <n v="0"/>
    <n v="184.57933373889279"/>
  </r>
  <r>
    <x v="11"/>
    <d v="2021-01-06T00:00:00"/>
    <d v="2021-01-25T00:00:00"/>
    <x v="15"/>
    <n v="9"/>
    <n v="105"/>
    <n v="10.251577535152041"/>
    <n v="12.037191737714332"/>
    <n v="1263.9051324600048"/>
    <n v="1076.4156411909644"/>
    <n v="187.4894912690404"/>
    <n v="6.3188091567969975"/>
    <n v="193.80830042583739"/>
    <n v="0"/>
    <n v="0"/>
    <n v="0"/>
    <n v="193.8083004258373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24" dataOnRows="1" applyNumberFormats="0" applyBorderFormats="0" applyFontFormats="0" applyPatternFormats="0" applyAlignmentFormats="0" applyWidthHeightFormats="1" dataCaption="Data" updatedVersion="6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33">
        <item m="1" x="49"/>
        <item m="1" x="69"/>
        <item m="1" x="89"/>
        <item m="1" x="109"/>
        <item m="1" x="129"/>
        <item m="1" x="29"/>
        <item m="1" x="59"/>
        <item m="1" x="79"/>
        <item m="1" x="99"/>
        <item m="1" x="119"/>
        <item m="1" x="19"/>
        <item m="1" x="39"/>
        <item m="1" x="50"/>
        <item m="1" x="70"/>
        <item m="1" x="90"/>
        <item m="1" x="110"/>
        <item m="1" x="130"/>
        <item m="1" x="30"/>
        <item m="1" x="60"/>
        <item m="1" x="80"/>
        <item m="1" x="100"/>
        <item m="1" x="120"/>
        <item m="1" x="20"/>
        <item m="1" x="40"/>
        <item m="1" x="51"/>
        <item m="1" x="71"/>
        <item m="1" x="91"/>
        <item m="1" x="111"/>
        <item m="1" x="131"/>
        <item m="1" x="31"/>
        <item m="1" x="61"/>
        <item m="1" x="81"/>
        <item m="1" x="101"/>
        <item m="1" x="121"/>
        <item m="1" x="21"/>
        <item m="1" x="41"/>
        <item m="1" x="52"/>
        <item m="1" x="72"/>
        <item m="1" x="92"/>
        <item m="1" x="112"/>
        <item m="1" x="12"/>
        <item m="1" x="32"/>
        <item m="1" x="62"/>
        <item m="1" x="82"/>
        <item m="1" x="102"/>
        <item m="1" x="122"/>
        <item m="1" x="22"/>
        <item m="1" x="42"/>
        <item m="1" x="53"/>
        <item m="1" x="73"/>
        <item m="1" x="93"/>
        <item m="1" x="113"/>
        <item m="1" x="13"/>
        <item m="1" x="33"/>
        <item m="1" x="63"/>
        <item m="1" x="83"/>
        <item m="1" x="103"/>
        <item m="1" x="123"/>
        <item m="1" x="23"/>
        <item m="1" x="43"/>
        <item m="1" x="54"/>
        <item m="1" x="74"/>
        <item m="1" x="94"/>
        <item m="1" x="114"/>
        <item m="1" x="14"/>
        <item m="1" x="34"/>
        <item m="1" x="64"/>
        <item m="1" x="84"/>
        <item m="1" x="104"/>
        <item m="1" x="124"/>
        <item m="1" x="24"/>
        <item m="1" x="44"/>
        <item m="1" x="55"/>
        <item m="1" x="75"/>
        <item m="1" x="95"/>
        <item m="1" x="115"/>
        <item m="1" x="15"/>
        <item m="1" x="35"/>
        <item m="1" x="65"/>
        <item m="1" x="85"/>
        <item m="1" x="105"/>
        <item m="1" x="125"/>
        <item m="1" x="25"/>
        <item m="1" x="45"/>
        <item m="1" x="56"/>
        <item m="1" x="76"/>
        <item m="1" x="96"/>
        <item m="1" x="116"/>
        <item m="1" x="16"/>
        <item m="1" x="36"/>
        <item m="1" x="66"/>
        <item m="1" x="86"/>
        <item m="1" x="106"/>
        <item m="1" x="126"/>
        <item m="1" x="26"/>
        <item m="1" x="46"/>
        <item m="1" x="57"/>
        <item m="1" x="77"/>
        <item m="1" x="97"/>
        <item m="1" x="117"/>
        <item m="1" x="17"/>
        <item m="1" x="37"/>
        <item m="1" x="67"/>
        <item m="1" x="87"/>
        <item m="1" x="107"/>
        <item m="1" x="127"/>
        <item m="1" x="27"/>
        <item m="1" x="47"/>
        <item m="1" x="58"/>
        <item m="1" x="78"/>
        <item m="1" x="98"/>
        <item m="1" x="118"/>
        <item m="1" x="18"/>
        <item m="1" x="38"/>
        <item m="1" x="68"/>
        <item m="1" x="88"/>
        <item m="1" x="108"/>
        <item m="1" x="128"/>
        <item m="1" x="28"/>
        <item m="1" x="4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D7" sqref="D7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63</v>
      </c>
    </row>
    <row r="3" spans="1:2" x14ac:dyDescent="0.25">
      <c r="A3" s="2">
        <v>1</v>
      </c>
      <c r="B3" s="3" t="s">
        <v>65</v>
      </c>
    </row>
    <row r="4" spans="1:2" ht="13" x14ac:dyDescent="0.3">
      <c r="A4" s="2">
        <v>2</v>
      </c>
      <c r="B4" s="3" t="s">
        <v>64</v>
      </c>
    </row>
    <row r="5" spans="1:2" ht="13" x14ac:dyDescent="0.3">
      <c r="A5" s="2">
        <v>3</v>
      </c>
      <c r="B5" s="3" t="s">
        <v>66</v>
      </c>
    </row>
    <row r="6" spans="1:2" ht="13" x14ac:dyDescent="0.3">
      <c r="A6" s="2">
        <v>4</v>
      </c>
      <c r="B6" s="4" t="s">
        <v>80</v>
      </c>
    </row>
    <row r="7" spans="1:2" x14ac:dyDescent="0.25">
      <c r="A7" s="2">
        <v>5</v>
      </c>
      <c r="B7" s="3" t="s">
        <v>67</v>
      </c>
    </row>
    <row r="8" spans="1:2" x14ac:dyDescent="0.25">
      <c r="A8" s="2">
        <v>6</v>
      </c>
      <c r="B8" s="3" t="s">
        <v>68</v>
      </c>
    </row>
    <row r="9" spans="1:2" x14ac:dyDescent="0.25">
      <c r="A9" s="2">
        <v>7</v>
      </c>
      <c r="B9" s="5" t="s">
        <v>69</v>
      </c>
    </row>
    <row r="10" spans="1:2" ht="13" x14ac:dyDescent="0.3">
      <c r="A10" s="2">
        <v>8</v>
      </c>
      <c r="B10" s="3" t="s">
        <v>72</v>
      </c>
    </row>
    <row r="11" spans="1:2" x14ac:dyDescent="0.25">
      <c r="A11" s="2"/>
      <c r="B11" s="3" t="s">
        <v>73</v>
      </c>
    </row>
    <row r="12" spans="1:2" x14ac:dyDescent="0.25">
      <c r="A12" s="2"/>
      <c r="B12" s="5" t="s">
        <v>74</v>
      </c>
    </row>
    <row r="13" spans="1:2" x14ac:dyDescent="0.25">
      <c r="A13" s="2"/>
      <c r="B13" s="5" t="s">
        <v>75</v>
      </c>
    </row>
    <row r="14" spans="1:2" x14ac:dyDescent="0.25">
      <c r="A14" s="2">
        <v>9</v>
      </c>
      <c r="B14" s="3" t="s">
        <v>76</v>
      </c>
    </row>
    <row r="15" spans="1:2" x14ac:dyDescent="0.25">
      <c r="A15" s="2">
        <v>10</v>
      </c>
      <c r="B15" s="3" t="s">
        <v>78</v>
      </c>
    </row>
    <row r="16" spans="1:2" x14ac:dyDescent="0.25">
      <c r="A16" s="2">
        <v>11</v>
      </c>
      <c r="B16" s="3" t="s">
        <v>79</v>
      </c>
    </row>
    <row r="17" spans="1:1" x14ac:dyDescent="0.25">
      <c r="A17" s="2"/>
    </row>
  </sheetData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2"/>
  <sheetViews>
    <sheetView tabSelected="1" zoomScale="85" zoomScaleNormal="85" zoomScaleSheetLayoutView="100" workbookViewId="0">
      <selection activeCell="C6" sqref="C6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6" width="14" style="1" customWidth="1"/>
    <col min="17" max="17" width="15" style="1" customWidth="1"/>
    <col min="18" max="110" width="31.7265625" style="1" customWidth="1"/>
    <col min="111" max="111" width="11.453125" style="1" customWidth="1"/>
    <col min="112" max="16384" width="33.26953125" style="1"/>
  </cols>
  <sheetData>
    <row r="1" spans="2:19" ht="13" x14ac:dyDescent="0.3">
      <c r="C1" s="250" t="str">
        <f>+Transactions!B1</f>
        <v>AEPTCo Formula Rate -- FERC Docket ER18-195</v>
      </c>
      <c r="D1" s="250"/>
      <c r="E1" s="250"/>
      <c r="F1" s="250"/>
      <c r="G1" s="250"/>
      <c r="H1" s="250"/>
      <c r="I1" s="250"/>
      <c r="L1" s="6">
        <v>2020</v>
      </c>
    </row>
    <row r="2" spans="2:19" ht="13" x14ac:dyDescent="0.3">
      <c r="C2" s="250" t="s">
        <v>36</v>
      </c>
      <c r="D2" s="250"/>
      <c r="E2" s="250"/>
      <c r="F2" s="250"/>
      <c r="G2" s="250"/>
      <c r="H2" s="250"/>
      <c r="I2" s="250"/>
    </row>
    <row r="3" spans="2:19" ht="13" x14ac:dyDescent="0.3">
      <c r="C3" s="250" t="str">
        <f>"for period 01/01/"&amp;F8&amp;" - 12/31/"&amp;F8</f>
        <v>for period 01/01/2020 - 12/31/2020</v>
      </c>
      <c r="D3" s="250"/>
      <c r="E3" s="250"/>
      <c r="F3" s="250"/>
      <c r="G3" s="250"/>
      <c r="H3" s="250"/>
      <c r="I3" s="250"/>
    </row>
    <row r="4" spans="2:19" ht="13" x14ac:dyDescent="0.3">
      <c r="C4" s="250" t="s">
        <v>94</v>
      </c>
      <c r="D4" s="250"/>
      <c r="E4" s="250"/>
      <c r="F4" s="250"/>
      <c r="G4" s="250"/>
      <c r="H4" s="250"/>
      <c r="I4" s="250"/>
    </row>
    <row r="5" spans="2:19" x14ac:dyDescent="0.25">
      <c r="C5" s="7" t="str">
        <f>"Prepared:  May 24_, "&amp;L1+1&amp;""</f>
        <v>Prepared:  May 24_, 2021</v>
      </c>
      <c r="D5" s="8"/>
    </row>
    <row r="6" spans="2:19" x14ac:dyDescent="0.25">
      <c r="C6" s="9"/>
    </row>
    <row r="7" spans="2:19" ht="13" x14ac:dyDescent="0.3">
      <c r="C7" s="10"/>
    </row>
    <row r="8" spans="2:19" ht="27.75" customHeight="1" thickBot="1" x14ac:dyDescent="0.3">
      <c r="F8" s="11">
        <f>Transactions!R1</f>
        <v>2020</v>
      </c>
    </row>
    <row r="9" spans="2:19" ht="20.25" customHeight="1" x14ac:dyDescent="0.3">
      <c r="E9" s="12" t="s">
        <v>93</v>
      </c>
      <c r="F9" s="13"/>
      <c r="G9" s="14"/>
      <c r="H9" s="15"/>
      <c r="L9" s="2"/>
    </row>
    <row r="10" spans="2:19" ht="42" customHeight="1" thickBot="1" x14ac:dyDescent="0.3">
      <c r="B10" s="16"/>
      <c r="E10" s="17" t="str">
        <f>"(per "&amp;$F8&amp;" Projections "&amp;$F8&amp;")"</f>
        <v>(per 2020 Projections 2020)</v>
      </c>
      <c r="F10" s="18" t="str">
        <f>"(per "&amp;F8&amp;" Update of May "&amp;F8+1&amp;")"</f>
        <v>(per 2020 Update of May 2021)</v>
      </c>
      <c r="G10" s="19"/>
      <c r="H10" s="20"/>
    </row>
    <row r="11" spans="2:19" ht="21.75" customHeight="1" x14ac:dyDescent="0.25">
      <c r="B11" s="21"/>
      <c r="C11" s="22" t="s">
        <v>39</v>
      </c>
      <c r="D11" s="23" t="s">
        <v>37</v>
      </c>
      <c r="E11" s="24">
        <f>Transactions!K2</f>
        <v>1026839.012230969</v>
      </c>
      <c r="F11" s="25"/>
      <c r="G11" s="26"/>
      <c r="H11" s="27"/>
    </row>
    <row r="12" spans="2:19" ht="21.75" customHeight="1" x14ac:dyDescent="0.25">
      <c r="B12" s="21"/>
      <c r="C12" s="28"/>
      <c r="D12" s="29" t="s">
        <v>42</v>
      </c>
      <c r="E12" s="30"/>
      <c r="F12" s="31">
        <f>+Transactions!J2</f>
        <v>1142173.0124164999</v>
      </c>
      <c r="G12" s="32"/>
      <c r="H12" s="33"/>
      <c r="K12" s="34"/>
    </row>
    <row r="13" spans="2:19" ht="21.75" customHeight="1" x14ac:dyDescent="0.25">
      <c r="B13" s="35"/>
      <c r="C13" s="36" t="s">
        <v>40</v>
      </c>
      <c r="D13" s="37" t="s">
        <v>38</v>
      </c>
      <c r="E13" s="38">
        <f>Transactions!K3</f>
        <v>10.251577535152041</v>
      </c>
      <c r="F13" s="33"/>
      <c r="G13" s="39"/>
      <c r="H13" s="40"/>
      <c r="K13" s="41"/>
    </row>
    <row r="14" spans="2:19" ht="21.75" customHeight="1" thickBot="1" x14ac:dyDescent="0.3">
      <c r="B14" s="16"/>
      <c r="C14" s="42"/>
      <c r="D14" s="43" t="s">
        <v>41</v>
      </c>
      <c r="E14" s="44"/>
      <c r="F14" s="45">
        <f>+Transactions!J3</f>
        <v>12.037191737714332</v>
      </c>
      <c r="G14" s="46"/>
      <c r="H14" s="33"/>
      <c r="K14" s="34"/>
    </row>
    <row r="15" spans="2:19" x14ac:dyDescent="0.25">
      <c r="B15" s="21"/>
      <c r="E15" s="47"/>
      <c r="K15" s="41"/>
    </row>
    <row r="16" spans="2:19" ht="13" x14ac:dyDescent="0.3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ht="13" x14ac:dyDescent="0.3">
      <c r="C17" s="10"/>
      <c r="K17" s="41"/>
      <c r="N17" s="54"/>
      <c r="O17" s="53"/>
      <c r="P17" s="53"/>
      <c r="Q17" s="53"/>
      <c r="R17" s="53"/>
      <c r="S17" s="53"/>
    </row>
    <row r="18" spans="2:19" x14ac:dyDescent="0.25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3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92</v>
      </c>
      <c r="I19" s="56" t="s">
        <v>91</v>
      </c>
      <c r="J19" s="57" t="s">
        <v>95</v>
      </c>
      <c r="K19" s="58" t="s">
        <v>96</v>
      </c>
      <c r="N19" s="52"/>
      <c r="O19" s="53"/>
      <c r="P19" s="53"/>
      <c r="Q19" s="53"/>
      <c r="R19" s="53"/>
      <c r="S19" s="53"/>
    </row>
    <row r="20" spans="2:19" ht="53.25" customHeight="1" x14ac:dyDescent="0.25">
      <c r="C20" s="59" t="s">
        <v>50</v>
      </c>
      <c r="D20" s="60" t="str">
        <f>"Actual Charge
("&amp;F8&amp;" True-Up)"</f>
        <v>Actual Charge
(2020 True-Up)</v>
      </c>
      <c r="E20" s="61" t="str">
        <f>"Invoiced for
CY"&amp;F8&amp;" Transmission Service"</f>
        <v>Invoiced for
CY2020 Transmission Service</v>
      </c>
      <c r="F20" s="60" t="s">
        <v>100</v>
      </c>
      <c r="G20" s="62" t="s">
        <v>101</v>
      </c>
      <c r="H20" s="62" t="s">
        <v>103</v>
      </c>
      <c r="I20" s="60" t="s">
        <v>102</v>
      </c>
      <c r="J20" s="63" t="s">
        <v>104</v>
      </c>
      <c r="K20" s="64" t="s">
        <v>97</v>
      </c>
      <c r="N20" s="52"/>
      <c r="O20" s="53"/>
      <c r="P20" s="53"/>
      <c r="Q20" s="53"/>
      <c r="R20" s="53"/>
      <c r="S20" s="53"/>
    </row>
    <row r="21" spans="2:19" x14ac:dyDescent="0.25">
      <c r="B21" s="65"/>
      <c r="C21" s="66" t="s">
        <v>14</v>
      </c>
      <c r="D21" s="67">
        <f>GETPIVOTDATA("Sum of "&amp;T(Transactions!$J$19),Pivot!$A$3,"Customer",C21)</f>
        <v>101569.82388283353</v>
      </c>
      <c r="E21" s="67">
        <f>GETPIVOTDATA("Sum of "&amp;T(Transactions!$K$19),Pivot!$A$3,"Customer",C21)</f>
        <v>86502.81124161293</v>
      </c>
      <c r="F21" s="67">
        <f>D21-E21</f>
        <v>15067.012641220601</v>
      </c>
      <c r="G21" s="53">
        <f>+GETPIVOTDATA("Sum of "&amp;T(Transactions!$M$19),Pivot!$A$3,"Customer","AECC")</f>
        <v>507.79153966717206</v>
      </c>
      <c r="H21" s="53">
        <f>GETPIVOTDATA("Sum of "&amp;T(Transactions!$Q$19),Pivot!$A$3,"Customer","AECC")</f>
        <v>0</v>
      </c>
      <c r="I21" s="68">
        <f>F21+G21-H21</f>
        <v>15574.804180887773</v>
      </c>
      <c r="J21" s="69">
        <v>0</v>
      </c>
      <c r="K21" s="70">
        <f>I21+J21</f>
        <v>15574.804180887773</v>
      </c>
      <c r="L21" s="65"/>
      <c r="N21" s="52"/>
      <c r="O21" s="53"/>
      <c r="P21" s="53"/>
      <c r="Q21" s="53"/>
      <c r="R21" s="53"/>
      <c r="S21" s="53"/>
    </row>
    <row r="22" spans="2:19" x14ac:dyDescent="0.25">
      <c r="B22" s="65"/>
      <c r="C22" s="71" t="s">
        <v>83</v>
      </c>
      <c r="D22" s="67">
        <f>GETPIVOTDATA("Sum of "&amp;T(Transactions!$J$19),Pivot!$A$3,"Customer",C22)</f>
        <v>5248.2155976434487</v>
      </c>
      <c r="E22" s="67">
        <f>GETPIVOTDATA("Sum of "&amp;T(Transactions!$K$19),Pivot!$A$3,"Customer",C22)</f>
        <v>4469.6878053262899</v>
      </c>
      <c r="F22" s="67">
        <f>D22-E22</f>
        <v>778.52779231715886</v>
      </c>
      <c r="G22" s="53">
        <f>+GETPIVOTDATA("Sum of "&amp;T(Transactions!$M$19),Pivot!$A$3,"Customer","AECI")</f>
        <v>26.238102784414199</v>
      </c>
      <c r="H22" s="53">
        <f>GETPIVOTDATA("Sum of "&amp;T(Transactions!$Q$19),Pivot!$A$3,"Customer",C22)</f>
        <v>0</v>
      </c>
      <c r="I22" s="68">
        <f t="shared" ref="I22:I33" si="0">F22+G22-H22</f>
        <v>804.76589510157305</v>
      </c>
      <c r="J22" s="69">
        <v>0</v>
      </c>
      <c r="K22" s="70">
        <f t="shared" ref="K22:K39" si="1">I22+J22</f>
        <v>804.76589510157305</v>
      </c>
      <c r="L22" s="65"/>
      <c r="N22" s="52"/>
      <c r="O22" s="53"/>
      <c r="P22" s="53"/>
      <c r="Q22" s="53"/>
      <c r="R22" s="53"/>
      <c r="S22" s="53"/>
    </row>
    <row r="23" spans="2:19" x14ac:dyDescent="0.25">
      <c r="B23" s="65"/>
      <c r="C23" s="71" t="s">
        <v>54</v>
      </c>
      <c r="D23" s="67">
        <f>GETPIVOTDATA("Sum of "&amp;T(Transactions!$J$19),Pivot!$A$3,"Customer",C23)</f>
        <v>16418.729530242352</v>
      </c>
      <c r="E23" s="67">
        <f>GETPIVOTDATA("Sum of "&amp;T(Transactions!$K$19),Pivot!$A$3,"Customer",C23)</f>
        <v>13983.151757947386</v>
      </c>
      <c r="F23" s="67">
        <f t="shared" ref="F23:F35" si="2">D23-E23</f>
        <v>2435.5777722949661</v>
      </c>
      <c r="G23" s="53">
        <f>+GETPIVOTDATA("Sum of "&amp;T(Transactions!$M$19),Pivot!$A$3,"Customer","Bentonville, AR")</f>
        <v>82.084339903534328</v>
      </c>
      <c r="H23" s="53">
        <f>GETPIVOTDATA("Sum of "&amp;T(Transactions!$Q$19),Pivot!$A$3,"Customer",C23)</f>
        <v>0</v>
      </c>
      <c r="I23" s="68">
        <f t="shared" si="0"/>
        <v>2517.6621121985004</v>
      </c>
      <c r="J23" s="69">
        <v>0</v>
      </c>
      <c r="K23" s="70">
        <f t="shared" si="1"/>
        <v>2517.6621121985004</v>
      </c>
      <c r="L23" s="65"/>
      <c r="N23" s="52"/>
      <c r="O23" s="53"/>
      <c r="P23" s="53"/>
      <c r="Q23" s="53"/>
      <c r="R23" s="53"/>
      <c r="S23" s="53"/>
    </row>
    <row r="24" spans="2:19" x14ac:dyDescent="0.25">
      <c r="B24" s="65"/>
      <c r="C24" s="66" t="s">
        <v>17</v>
      </c>
      <c r="D24" s="67">
        <f>GETPIVOTDATA("Sum of "&amp;T(Transactions!$J$19),Pivot!$A$3,"Customer",C24)</f>
        <v>13830.733306633767</v>
      </c>
      <c r="E24" s="67">
        <f>GETPIVOTDATA("Sum of "&amp;T(Transactions!$K$19),Pivot!$A$3,"Customer",C24)</f>
        <v>11779.062587889694</v>
      </c>
      <c r="F24" s="67">
        <f t="shared" si="2"/>
        <v>2051.6707187440734</v>
      </c>
      <c r="G24" s="53">
        <f>+GETPIVOTDATA("Sum of "&amp;T(Transactions!$M$19),Pivot!$A$3,"Customer","Coffeyville, KS")</f>
        <v>69.145825915807137</v>
      </c>
      <c r="H24" s="53">
        <f>GETPIVOTDATA("Sum of "&amp;T(Transactions!$Q$19),Pivot!$A$3,"Customer",C24)</f>
        <v>0</v>
      </c>
      <c r="I24" s="68">
        <f t="shared" si="0"/>
        <v>2120.8165446598805</v>
      </c>
      <c r="J24" s="69">
        <v>0</v>
      </c>
      <c r="K24" s="70">
        <f t="shared" si="1"/>
        <v>2120.8165446598805</v>
      </c>
      <c r="L24" s="65"/>
      <c r="N24" s="52"/>
      <c r="O24" s="53"/>
      <c r="P24" s="53"/>
      <c r="Q24" s="53"/>
      <c r="R24" s="53"/>
      <c r="S24" s="53"/>
    </row>
    <row r="25" spans="2:19" x14ac:dyDescent="0.25">
      <c r="B25" s="65"/>
      <c r="C25" s="71" t="s">
        <v>13</v>
      </c>
      <c r="D25" s="67">
        <f>GETPIVOTDATA("Sum of "&amp;T(Transactions!$J$19),Pivot!$A$3,"Customer",C25)</f>
        <v>117446.87978487874</v>
      </c>
      <c r="E25" s="67">
        <f>GETPIVOTDATA("Sum of "&amp;T(Transactions!$K$19),Pivot!$A$3,"Customer",C25)</f>
        <v>100024.64201047846</v>
      </c>
      <c r="F25" s="67">
        <f t="shared" si="2"/>
        <v>17422.237774400273</v>
      </c>
      <c r="G25" s="53">
        <f>+GETPIVOTDATA("Sum of "&amp;T(Transactions!$M$19),Pivot!$A$3,"Customer","ETEC")</f>
        <v>587.16781850350765</v>
      </c>
      <c r="H25" s="53">
        <f>GETPIVOTDATA("Sum of "&amp;T(Transactions!$Q$19),Pivot!$A$3,"Customer",C25)</f>
        <v>0</v>
      </c>
      <c r="I25" s="68">
        <f t="shared" si="0"/>
        <v>18009.405592903782</v>
      </c>
      <c r="J25" s="69">
        <v>0</v>
      </c>
      <c r="K25" s="70">
        <f t="shared" si="1"/>
        <v>18009.405592903782</v>
      </c>
      <c r="L25" s="65"/>
      <c r="N25" s="54"/>
      <c r="O25" s="53"/>
      <c r="P25" s="53"/>
      <c r="Q25" s="53"/>
      <c r="R25" s="53"/>
      <c r="S25" s="53"/>
    </row>
    <row r="26" spans="2:19" x14ac:dyDescent="0.25">
      <c r="B26" s="65"/>
      <c r="C26" s="66" t="s">
        <v>15</v>
      </c>
      <c r="D26" s="67">
        <f>GETPIVOTDATA("Sum of "&amp;T(Transactions!$J$19),Pivot!$A$3,"Customer",C26)</f>
        <v>1275.942324197719</v>
      </c>
      <c r="E26" s="67">
        <f>GETPIVOTDATA("Sum of "&amp;T(Transactions!$K$19),Pivot!$A$3,"Customer",C26)</f>
        <v>1086.6672187261165</v>
      </c>
      <c r="F26" s="67">
        <f t="shared" si="2"/>
        <v>189.2751054716025</v>
      </c>
      <c r="G26" s="53">
        <f>+GETPIVOTDATA("Sum of "&amp;T(Transactions!$M$19),Pivot!$A$3,"Customer","Greenbelt")</f>
        <v>6.3789882916236351</v>
      </c>
      <c r="H26" s="53">
        <f>GETPIVOTDATA("Sum of "&amp;T(Transactions!$Q$19),Pivot!$A$3,"Customer",C26)</f>
        <v>0</v>
      </c>
      <c r="I26" s="68">
        <f t="shared" si="0"/>
        <v>195.65409376322614</v>
      </c>
      <c r="J26" s="69">
        <v>0</v>
      </c>
      <c r="K26" s="70">
        <f t="shared" si="1"/>
        <v>195.65409376322614</v>
      </c>
      <c r="L26" s="65"/>
      <c r="M26" s="72"/>
      <c r="N26" s="72"/>
      <c r="O26" s="72"/>
      <c r="P26" s="72"/>
      <c r="Q26" s="53"/>
      <c r="R26" s="53"/>
      <c r="S26" s="53"/>
    </row>
    <row r="27" spans="2:19" x14ac:dyDescent="0.25">
      <c r="B27" s="65"/>
      <c r="C27" s="66" t="s">
        <v>57</v>
      </c>
      <c r="D27" s="67">
        <f>GETPIVOTDATA("Sum of "&amp;T(Transactions!$J$19),Pivot!$A$3,"Customer",C27)</f>
        <v>5332.4759398074493</v>
      </c>
      <c r="E27" s="67">
        <f>GETPIVOTDATA("Sum of "&amp;T(Transactions!$K$19),Pivot!$A$3,"Customer",C27)</f>
        <v>4541.4488480723539</v>
      </c>
      <c r="F27" s="67">
        <f t="shared" si="2"/>
        <v>791.02709173509538</v>
      </c>
      <c r="G27" s="53">
        <f>+GETPIVOTDATA("Sum of "&amp;T(Transactions!$M$19),Pivot!$A$3,"Customer","Hope, AR")</f>
        <v>26.659356728200667</v>
      </c>
      <c r="H27" s="53">
        <f>GETPIVOTDATA("Sum of "&amp;T(Transactions!$Q$19),Pivot!$A$3,"Customer",C27)</f>
        <v>0</v>
      </c>
      <c r="I27" s="68">
        <f t="shared" si="0"/>
        <v>817.68644846329607</v>
      </c>
      <c r="J27" s="69">
        <v>0</v>
      </c>
      <c r="K27" s="70">
        <f t="shared" si="1"/>
        <v>817.68644846329607</v>
      </c>
      <c r="L27" s="65"/>
      <c r="M27" s="72"/>
      <c r="N27" s="72"/>
      <c r="O27" s="72"/>
      <c r="P27" s="72"/>
      <c r="Q27" s="53"/>
      <c r="R27" s="53"/>
      <c r="S27" s="53"/>
    </row>
    <row r="28" spans="2:19" x14ac:dyDescent="0.25">
      <c r="B28" s="65"/>
      <c r="C28" s="66" t="s">
        <v>16</v>
      </c>
      <c r="D28" s="67">
        <f>GETPIVOTDATA("Sum of "&amp;T(Transactions!$J$19),Pivot!$A$3,"Customer",C28)</f>
        <v>385.19013560685863</v>
      </c>
      <c r="E28" s="67">
        <f>GETPIVOTDATA("Sum of "&amp;T(Transactions!$K$19),Pivot!$A$3,"Customer",C28)</f>
        <v>328.05048112486531</v>
      </c>
      <c r="F28" s="67">
        <f t="shared" si="2"/>
        <v>57.139654481993318</v>
      </c>
      <c r="G28" s="53">
        <f>+GETPIVOTDATA("Sum of "&amp;T(Transactions!$M$19),Pivot!$A$3,"Customer","Lighthouse")</f>
        <v>1.9257323144524181</v>
      </c>
      <c r="H28" s="53">
        <f>GETPIVOTDATA("Sum of "&amp;T(Transactions!$Q$19),Pivot!$A$3,"Customer",C28)</f>
        <v>0</v>
      </c>
      <c r="I28" s="68">
        <f t="shared" si="0"/>
        <v>59.065386796445736</v>
      </c>
      <c r="J28" s="69">
        <v>0</v>
      </c>
      <c r="K28" s="70">
        <f t="shared" si="1"/>
        <v>59.065386796445736</v>
      </c>
      <c r="L28" s="65"/>
      <c r="N28" s="52"/>
      <c r="O28" s="53"/>
      <c r="P28" s="53"/>
      <c r="Q28" s="53"/>
      <c r="R28" s="53"/>
      <c r="S28" s="53"/>
    </row>
    <row r="29" spans="2:19" x14ac:dyDescent="0.25">
      <c r="B29" s="65"/>
      <c r="C29" s="71" t="s">
        <v>56</v>
      </c>
      <c r="D29" s="67">
        <f>GETPIVOTDATA("Sum of "&amp;T(Transactions!$J$19),Pivot!$A$3,"Customer",C29)</f>
        <v>3418.56245351087</v>
      </c>
      <c r="E29" s="67">
        <f>GETPIVOTDATA("Sum of "&amp;T(Transactions!$K$19),Pivot!$A$3,"Customer",C29)</f>
        <v>2911.4480199831801</v>
      </c>
      <c r="F29" s="67">
        <f t="shared" si="2"/>
        <v>507.11443352768993</v>
      </c>
      <c r="G29" s="53">
        <f>+GETPIVOTDATA("Sum of "&amp;T(Transactions!$M$19),Pivot!$A$3,"Customer","Minden, LA")</f>
        <v>17.090874290765214</v>
      </c>
      <c r="H29" s="53">
        <f>GETPIVOTDATA("Sum of "&amp;T(Transactions!$Q$19),Pivot!$A$3,"Customer",C29)</f>
        <v>0</v>
      </c>
      <c r="I29" s="68">
        <f t="shared" si="0"/>
        <v>524.20530781845514</v>
      </c>
      <c r="J29" s="69">
        <v>0</v>
      </c>
      <c r="K29" s="70">
        <f t="shared" si="1"/>
        <v>524.20530781845514</v>
      </c>
      <c r="L29" s="65"/>
      <c r="N29" s="52"/>
      <c r="O29" s="53"/>
      <c r="P29" s="53"/>
      <c r="Q29" s="53"/>
      <c r="R29" s="53"/>
      <c r="S29" s="53"/>
    </row>
    <row r="30" spans="2:19" x14ac:dyDescent="0.25">
      <c r="B30" s="65"/>
      <c r="C30" s="71" t="s">
        <v>19</v>
      </c>
      <c r="D30" s="67">
        <f>GETPIVOTDATA("Sum of "&amp;T(Transactions!$J$19),Pivot!$A$3,"Customer",C30)</f>
        <v>5669.5173084634498</v>
      </c>
      <c r="E30" s="67">
        <f>GETPIVOTDATA("Sum of "&amp;T(Transactions!$K$19),Pivot!$A$3,"Customer",C30)</f>
        <v>4828.493019056611</v>
      </c>
      <c r="F30" s="67">
        <f t="shared" si="2"/>
        <v>841.02428940683876</v>
      </c>
      <c r="G30" s="53">
        <f>+GETPIVOTDATA("Sum of "&amp;T(Transactions!$M$19),Pivot!$A$3,"Customer","OG&amp;E")</f>
        <v>28.344372503346531</v>
      </c>
      <c r="H30" s="53">
        <f>GETPIVOTDATA("Sum of "&amp;T(Transactions!$Q$19),Pivot!$A$3,"Customer",C30)</f>
        <v>0</v>
      </c>
      <c r="I30" s="68">
        <f t="shared" si="0"/>
        <v>869.36866191018532</v>
      </c>
      <c r="J30" s="69">
        <v>0</v>
      </c>
      <c r="K30" s="70">
        <f t="shared" si="1"/>
        <v>869.36866191018532</v>
      </c>
      <c r="L30" s="65"/>
    </row>
    <row r="31" spans="2:19" x14ac:dyDescent="0.25">
      <c r="B31" s="65"/>
      <c r="C31" s="66" t="s">
        <v>8</v>
      </c>
      <c r="D31" s="67">
        <f>GETPIVOTDATA("Sum of "&amp;T(Transactions!$J$19),Pivot!$A$3,"Customer",C31)</f>
        <v>14649.262344798344</v>
      </c>
      <c r="E31" s="67">
        <f>GETPIVOTDATA("Sum of "&amp;T(Transactions!$K$19),Pivot!$A$3,"Customer",C31)</f>
        <v>12476.169860280035</v>
      </c>
      <c r="F31" s="67">
        <f t="shared" si="2"/>
        <v>2173.092484518309</v>
      </c>
      <c r="G31" s="53">
        <f>+GETPIVOTDATA("Sum of "&amp;T(Transactions!$M$19),Pivot!$A$3,"Customer","OMPA")</f>
        <v>73.238007084018534</v>
      </c>
      <c r="H31" s="53">
        <f>GETPIVOTDATA("Sum of "&amp;T(Transactions!$Q$19),Pivot!$A$3,"Customer",C31)</f>
        <v>0</v>
      </c>
      <c r="I31" s="68">
        <f t="shared" si="0"/>
        <v>2246.3304916023276</v>
      </c>
      <c r="J31" s="69">
        <v>0</v>
      </c>
      <c r="K31" s="70">
        <f t="shared" si="1"/>
        <v>2246.3304916023276</v>
      </c>
      <c r="L31" s="65"/>
    </row>
    <row r="32" spans="2:19" x14ac:dyDescent="0.25">
      <c r="B32" s="65"/>
      <c r="C32" s="66" t="s">
        <v>55</v>
      </c>
      <c r="D32" s="67">
        <f>GETPIVOTDATA("Sum of "&amp;T(Transactions!$J$19),Pivot!$A$3,"Customer",C32)</f>
        <v>1588.9093093782919</v>
      </c>
      <c r="E32" s="67">
        <f>GETPIVOTDATA("Sum of "&amp;T(Transactions!$K$19),Pivot!$A$3,"Customer",C32)</f>
        <v>1353.2082346400693</v>
      </c>
      <c r="F32" s="67">
        <f t="shared" si="2"/>
        <v>235.70107473822259</v>
      </c>
      <c r="G32" s="53">
        <f>+GETPIVOTDATA("Sum of "&amp;T(Transactions!$M$19),Pivot!$A$3,"Customer","Prescott, AR")</f>
        <v>7.9436457971162255</v>
      </c>
      <c r="H32" s="53">
        <f>GETPIVOTDATA("Sum of "&amp;T(Transactions!$Q$19),Pivot!$A$3,"Customer",C32)</f>
        <v>0</v>
      </c>
      <c r="I32" s="68">
        <f t="shared" si="0"/>
        <v>243.64472053533882</v>
      </c>
      <c r="J32" s="69">
        <v>0</v>
      </c>
      <c r="K32" s="70">
        <f t="shared" si="1"/>
        <v>243.64472053533882</v>
      </c>
      <c r="L32" s="65"/>
    </row>
    <row r="33" spans="2:13" x14ac:dyDescent="0.25">
      <c r="B33" s="65"/>
      <c r="C33" s="73" t="s">
        <v>9</v>
      </c>
      <c r="D33" s="67">
        <f>GETPIVOTDATA("Sum of "&amp;T(Transactions!$J$19),Pivot!$A$3,"Customer",C33)</f>
        <v>5151.9180637417339</v>
      </c>
      <c r="E33" s="67">
        <f>GETPIVOTDATA("Sum of "&amp;T(Transactions!$K$19),Pivot!$A$3,"Customer",C33)</f>
        <v>4387.6751850450737</v>
      </c>
      <c r="F33" s="67">
        <f t="shared" si="2"/>
        <v>764.24287869666023</v>
      </c>
      <c r="G33" s="53">
        <f>+GETPIVOTDATA("Sum of "&amp;T(Transactions!$M$19),Pivot!$A$3,"Customer","WFEC")</f>
        <v>25.756669705801094</v>
      </c>
      <c r="H33" s="53">
        <f>GETPIVOTDATA("Sum of "&amp;T(Transactions!$Q$19),Pivot!$A$3,"Customer",C33)</f>
        <v>0</v>
      </c>
      <c r="I33" s="68">
        <f t="shared" si="0"/>
        <v>789.9995484024613</v>
      </c>
      <c r="J33" s="69">
        <v>0</v>
      </c>
      <c r="K33" s="70">
        <f t="shared" si="1"/>
        <v>789.9995484024613</v>
      </c>
      <c r="L33" s="65"/>
    </row>
    <row r="34" spans="2:13" ht="23" x14ac:dyDescent="0.25">
      <c r="C34" s="74" t="s">
        <v>43</v>
      </c>
      <c r="D34" s="75">
        <f t="shared" ref="D34:J34" si="3">SUM(D21:D33)</f>
        <v>291986.15998173662</v>
      </c>
      <c r="E34" s="75">
        <f t="shared" si="3"/>
        <v>248672.51627018311</v>
      </c>
      <c r="F34" s="75">
        <f t="shared" si="3"/>
        <v>43313.643711553486</v>
      </c>
      <c r="G34" s="76">
        <f t="shared" si="3"/>
        <v>1459.7652734897599</v>
      </c>
      <c r="H34" s="76">
        <f t="shared" si="3"/>
        <v>0</v>
      </c>
      <c r="I34" s="77">
        <f t="shared" si="3"/>
        <v>44773.408985043236</v>
      </c>
      <c r="J34" s="78">
        <f t="shared" si="3"/>
        <v>0</v>
      </c>
      <c r="K34" s="79">
        <f t="shared" si="1"/>
        <v>44773.408985043236</v>
      </c>
    </row>
    <row r="35" spans="2:13" x14ac:dyDescent="0.25">
      <c r="C35" s="80" t="s">
        <v>21</v>
      </c>
      <c r="D35" s="67">
        <f>GETPIVOTDATA("Sum of "&amp;T(Transactions!$J$19),Pivot!$A$3,"Customer",C35)</f>
        <v>425081.38902564388</v>
      </c>
      <c r="E35" s="67">
        <f>GETPIVOTDATA("Sum of "&amp;T(Transactions!$K$19),Pivot!$A$3,"Customer",C35)</f>
        <v>362024.20907635917</v>
      </c>
      <c r="F35" s="67">
        <f t="shared" si="2"/>
        <v>63057.179949284706</v>
      </c>
      <c r="G35" s="53">
        <f>+GETPIVOTDATA("Sum of "&amp;T(Transactions!$M$19),Pivot!$A$3,"Customer","PSO")</f>
        <v>2125.165967267897</v>
      </c>
      <c r="H35" s="53">
        <f>GETPIVOTDATA("Sum of "&amp;T(Transactions!$Q$19),Pivot!$A$3,"Customer",C35)</f>
        <v>0</v>
      </c>
      <c r="I35" s="68">
        <f>F35+G35-H35</f>
        <v>65182.3459165526</v>
      </c>
      <c r="J35" s="69">
        <v>0</v>
      </c>
      <c r="K35" s="70">
        <f t="shared" si="1"/>
        <v>65182.3459165526</v>
      </c>
    </row>
    <row r="36" spans="2:13" x14ac:dyDescent="0.25">
      <c r="C36" s="81" t="s">
        <v>22</v>
      </c>
      <c r="D36" s="67">
        <f>GETPIVOTDATA("Sum of "&amp;T(Transactions!$J$19),Pivot!$A$3,"Customer",C36)</f>
        <v>407759.87011507305</v>
      </c>
      <c r="E36" s="67">
        <f>GETPIVOTDATA("Sum of "&amp;T(Transactions!$K$19),Pivot!$A$3,"Customer",C36)</f>
        <v>347272.18900327542</v>
      </c>
      <c r="F36" s="67">
        <f>D36-E36</f>
        <v>60487.681111797632</v>
      </c>
      <c r="G36" s="53">
        <f>+GETPIVOTDATA("Sum of "&amp;T(Transactions!$M$19),Pivot!$A$3,"Customer","SWEPCO")</f>
        <v>2038.5681922523647</v>
      </c>
      <c r="H36" s="53">
        <f>GETPIVOTDATA("Sum of "&amp;T(Transactions!$Q$19),Pivot!$A$3,"Customer",C36)</f>
        <v>0</v>
      </c>
      <c r="I36" s="68">
        <f>F36+G36-H36</f>
        <v>62526.249304049998</v>
      </c>
      <c r="J36" s="69">
        <v>0</v>
      </c>
      <c r="K36" s="70">
        <f t="shared" si="1"/>
        <v>62526.249304049998</v>
      </c>
    </row>
    <row r="37" spans="2:13" x14ac:dyDescent="0.25">
      <c r="C37" s="82" t="s">
        <v>81</v>
      </c>
      <c r="D37" s="67">
        <f>GETPIVOTDATA("Sum of "&amp;T(Transactions!$J$19),Pivot!$A$3,"Customer",C37)</f>
        <v>17345.593294046354</v>
      </c>
      <c r="E37" s="67">
        <f>GETPIVOTDATA("Sum of "&amp;T(Transactions!$K$19),Pivot!$A$3,"Customer",C37)</f>
        <v>14772.523228154092</v>
      </c>
      <c r="F37" s="67">
        <f>D37-E37</f>
        <v>2573.0700658922615</v>
      </c>
      <c r="G37" s="53">
        <f>+GETPIVOTDATA("Sum of "&amp;T(Transactions!$M$19),Pivot!$A$3,"Customer","SWEPCO-Valley")</f>
        <v>86.718133285185473</v>
      </c>
      <c r="H37" s="53">
        <f>GETPIVOTDATA("Sum of "&amp;T(Transactions!$Q$19),Pivot!$A$3,"Customer",C37)</f>
        <v>0</v>
      </c>
      <c r="I37" s="68">
        <f>F37+G37-H37</f>
        <v>2659.788199177447</v>
      </c>
      <c r="J37" s="69">
        <v>0</v>
      </c>
      <c r="K37" s="70">
        <f t="shared" si="1"/>
        <v>2659.788199177447</v>
      </c>
    </row>
    <row r="38" spans="2:13" ht="23" x14ac:dyDescent="0.25">
      <c r="C38" s="83" t="s">
        <v>51</v>
      </c>
      <c r="D38" s="84">
        <f t="shared" ref="D38:I38" si="4">SUM(D35:D37)</f>
        <v>850186.85243476322</v>
      </c>
      <c r="E38" s="84">
        <f t="shared" si="4"/>
        <v>724068.9213077887</v>
      </c>
      <c r="F38" s="84">
        <f t="shared" si="4"/>
        <v>126117.9311269746</v>
      </c>
      <c r="G38" s="85">
        <f t="shared" si="4"/>
        <v>4250.4522928054466</v>
      </c>
      <c r="H38" s="85">
        <f t="shared" si="4"/>
        <v>0</v>
      </c>
      <c r="I38" s="86">
        <f t="shared" si="4"/>
        <v>130368.38341978005</v>
      </c>
      <c r="J38" s="87">
        <f>SUM(J35:J37)</f>
        <v>0</v>
      </c>
      <c r="K38" s="88">
        <f t="shared" si="1"/>
        <v>130368.38341978005</v>
      </c>
      <c r="M38" s="89"/>
    </row>
    <row r="39" spans="2:13" ht="23.25" customHeight="1" thickBot="1" x14ac:dyDescent="0.3">
      <c r="C39" s="90" t="s">
        <v>44</v>
      </c>
      <c r="D39" s="91">
        <f t="shared" ref="D39:I39" si="5">SUM(D34,D38)</f>
        <v>1142173.0124164999</v>
      </c>
      <c r="E39" s="92">
        <f t="shared" si="5"/>
        <v>972741.43757797184</v>
      </c>
      <c r="F39" s="91">
        <f t="shared" si="5"/>
        <v>169431.57483852809</v>
      </c>
      <c r="G39" s="92">
        <f t="shared" si="5"/>
        <v>5710.2175662952068</v>
      </c>
      <c r="H39" s="92">
        <f t="shared" si="5"/>
        <v>0</v>
      </c>
      <c r="I39" s="93">
        <f t="shared" si="5"/>
        <v>175141.7924048233</v>
      </c>
      <c r="J39" s="94">
        <f>SUM(J34,J38)</f>
        <v>0</v>
      </c>
      <c r="K39" s="95">
        <f t="shared" si="1"/>
        <v>175141.7924048233</v>
      </c>
      <c r="M39" s="89"/>
    </row>
    <row r="40" spans="2:13" x14ac:dyDescent="0.25">
      <c r="E40" s="52"/>
      <c r="F40" s="52"/>
      <c r="G40" s="52"/>
      <c r="H40" s="52"/>
    </row>
    <row r="41" spans="2:13" x14ac:dyDescent="0.25">
      <c r="K41" s="96"/>
    </row>
    <row r="42" spans="2:13" x14ac:dyDescent="0.25">
      <c r="K42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6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26"/>
  <sheetViews>
    <sheetView zoomScale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4" sqref="D14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7265625" style="1" bestFit="1" customWidth="1"/>
    <col min="15" max="15" width="10.36328125" style="1" customWidth="1"/>
    <col min="16" max="16384" width="8.7265625" style="1"/>
  </cols>
  <sheetData>
    <row r="3" spans="1:15" x14ac:dyDescent="0.25">
      <c r="A3" s="97"/>
      <c r="B3" s="98"/>
      <c r="C3" s="99" t="s">
        <v>53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/>
    </row>
    <row r="4" spans="1:15" x14ac:dyDescent="0.25">
      <c r="A4" s="99" t="s">
        <v>0</v>
      </c>
      <c r="B4" s="99" t="s">
        <v>24</v>
      </c>
      <c r="C4" s="101">
        <v>43831</v>
      </c>
      <c r="D4" s="102">
        <v>43862</v>
      </c>
      <c r="E4" s="102">
        <v>43891</v>
      </c>
      <c r="F4" s="102">
        <v>43922</v>
      </c>
      <c r="G4" s="102">
        <v>43952</v>
      </c>
      <c r="H4" s="102">
        <v>43983</v>
      </c>
      <c r="I4" s="102">
        <v>44013</v>
      </c>
      <c r="J4" s="102">
        <v>44044</v>
      </c>
      <c r="K4" s="102">
        <v>44075</v>
      </c>
      <c r="L4" s="102">
        <v>44105</v>
      </c>
      <c r="M4" s="102">
        <v>44136</v>
      </c>
      <c r="N4" s="102">
        <v>44166</v>
      </c>
      <c r="O4" s="103" t="s">
        <v>18</v>
      </c>
    </row>
    <row r="5" spans="1:15" x14ac:dyDescent="0.25">
      <c r="A5" s="97" t="s">
        <v>14</v>
      </c>
      <c r="B5" s="97" t="s">
        <v>70</v>
      </c>
      <c r="C5" s="104">
        <v>9064.0053784988922</v>
      </c>
      <c r="D5" s="105">
        <v>8606.5920924657476</v>
      </c>
      <c r="E5" s="105">
        <v>6138.9677862343096</v>
      </c>
      <c r="F5" s="105">
        <v>7402.8729186943146</v>
      </c>
      <c r="G5" s="105">
        <v>6632.492647480597</v>
      </c>
      <c r="H5" s="105">
        <v>9810.3112662371805</v>
      </c>
      <c r="I5" s="105">
        <v>9822.3484579748947</v>
      </c>
      <c r="J5" s="105">
        <v>10701.063454828041</v>
      </c>
      <c r="K5" s="105">
        <v>9244.5632545646076</v>
      </c>
      <c r="L5" s="105">
        <v>7619.5423699731728</v>
      </c>
      <c r="M5" s="105">
        <v>7691.7655203994582</v>
      </c>
      <c r="N5" s="105">
        <v>8835.2987354823199</v>
      </c>
      <c r="O5" s="106">
        <v>101569.82388283353</v>
      </c>
    </row>
    <row r="6" spans="1:15" ht="13" x14ac:dyDescent="0.3">
      <c r="A6" s="238"/>
      <c r="B6" s="107" t="s">
        <v>25</v>
      </c>
      <c r="C6" s="244">
        <v>1344.5674945294049</v>
      </c>
      <c r="D6" s="245">
        <v>1276.7141548320378</v>
      </c>
      <c r="E6" s="245">
        <v>910.66324330676889</v>
      </c>
      <c r="F6" s="245">
        <v>1098.1527345758095</v>
      </c>
      <c r="G6" s="245">
        <v>983.87342561182231</v>
      </c>
      <c r="H6" s="245">
        <v>1455.2755750882661</v>
      </c>
      <c r="I6" s="245">
        <v>1457.0611892908291</v>
      </c>
      <c r="J6" s="245">
        <v>1587.4110260778762</v>
      </c>
      <c r="K6" s="245">
        <v>1371.3517075678401</v>
      </c>
      <c r="L6" s="245">
        <v>1130.293790221931</v>
      </c>
      <c r="M6" s="245">
        <v>1141.0074754373036</v>
      </c>
      <c r="N6" s="245">
        <v>1310.6408246807214</v>
      </c>
      <c r="O6" s="246">
        <v>15067.012641220608</v>
      </c>
    </row>
    <row r="7" spans="1:15" ht="13" x14ac:dyDescent="0.3">
      <c r="A7" s="238"/>
      <c r="B7" s="107" t="s">
        <v>26</v>
      </c>
      <c r="C7" s="244">
        <v>45.314888524458468</v>
      </c>
      <c r="D7" s="245">
        <v>43.028081401046222</v>
      </c>
      <c r="E7" s="245">
        <v>30.691358761585416</v>
      </c>
      <c r="F7" s="245">
        <v>37.010167918382415</v>
      </c>
      <c r="G7" s="245">
        <v>33.158703289477579</v>
      </c>
      <c r="H7" s="245">
        <v>49.045994883710023</v>
      </c>
      <c r="I7" s="245">
        <v>49.10617401853667</v>
      </c>
      <c r="J7" s="245">
        <v>53.499250860881247</v>
      </c>
      <c r="K7" s="245">
        <v>46.217575546858036</v>
      </c>
      <c r="L7" s="245">
        <v>38.093392345261897</v>
      </c>
      <c r="M7" s="245">
        <v>38.454467154221732</v>
      </c>
      <c r="N7" s="245">
        <v>44.171484962752345</v>
      </c>
      <c r="O7" s="246">
        <v>507.79153966717206</v>
      </c>
    </row>
    <row r="8" spans="1:15" ht="13" x14ac:dyDescent="0.3">
      <c r="A8" s="238"/>
      <c r="B8" s="107" t="s">
        <v>27</v>
      </c>
      <c r="C8" s="244">
        <v>1389.8823830538634</v>
      </c>
      <c r="D8" s="245">
        <v>1319.742236233084</v>
      </c>
      <c r="E8" s="245">
        <v>941.35460206835432</v>
      </c>
      <c r="F8" s="245">
        <v>1135.1629024941919</v>
      </c>
      <c r="G8" s="245">
        <v>1017.0321289012999</v>
      </c>
      <c r="H8" s="245">
        <v>1504.3215699719763</v>
      </c>
      <c r="I8" s="245">
        <v>1506.1673633093658</v>
      </c>
      <c r="J8" s="245">
        <v>1640.9102769387573</v>
      </c>
      <c r="K8" s="245">
        <v>1417.5692831146982</v>
      </c>
      <c r="L8" s="245">
        <v>1168.3871825671929</v>
      </c>
      <c r="M8" s="245">
        <v>1179.4619425915253</v>
      </c>
      <c r="N8" s="245">
        <v>1354.8123096434738</v>
      </c>
      <c r="O8" s="246">
        <v>15574.804180887784</v>
      </c>
    </row>
    <row r="9" spans="1:15" x14ac:dyDescent="0.25">
      <c r="A9" s="238"/>
      <c r="B9" s="107" t="s">
        <v>49</v>
      </c>
      <c r="C9" s="108">
        <v>7719.4378839694873</v>
      </c>
      <c r="D9" s="96">
        <v>7329.8779376337097</v>
      </c>
      <c r="E9" s="96">
        <v>5228.3045429275408</v>
      </c>
      <c r="F9" s="96">
        <v>6304.7201841185051</v>
      </c>
      <c r="G9" s="96">
        <v>5648.6192218687747</v>
      </c>
      <c r="H9" s="96">
        <v>8355.0356911489143</v>
      </c>
      <c r="I9" s="96">
        <v>8365.2872686840656</v>
      </c>
      <c r="J9" s="96">
        <v>9113.6524287501652</v>
      </c>
      <c r="K9" s="96">
        <v>7873.2115469967675</v>
      </c>
      <c r="L9" s="96">
        <v>6489.2485797512418</v>
      </c>
      <c r="M9" s="96">
        <v>6550.7580449621546</v>
      </c>
      <c r="N9" s="96">
        <v>7524.6579108015985</v>
      </c>
      <c r="O9" s="109">
        <v>86502.81124161293</v>
      </c>
    </row>
    <row r="10" spans="1:15" x14ac:dyDescent="0.25">
      <c r="A10" s="238"/>
      <c r="B10" s="107" t="s">
        <v>87</v>
      </c>
      <c r="C10" s="108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109">
        <v>0</v>
      </c>
    </row>
    <row r="11" spans="1:15" x14ac:dyDescent="0.25">
      <c r="A11" s="238"/>
      <c r="B11" s="107" t="s">
        <v>89</v>
      </c>
      <c r="C11" s="108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109">
        <v>0</v>
      </c>
    </row>
    <row r="12" spans="1:15" x14ac:dyDescent="0.25">
      <c r="A12" s="97" t="s">
        <v>17</v>
      </c>
      <c r="B12" s="97" t="s">
        <v>70</v>
      </c>
      <c r="C12" s="104">
        <v>1275.9423241977192</v>
      </c>
      <c r="D12" s="105">
        <v>1239.8307489845763</v>
      </c>
      <c r="E12" s="105">
        <v>312.96698518057264</v>
      </c>
      <c r="F12" s="105">
        <v>1167.6075985582902</v>
      </c>
      <c r="G12" s="105">
        <v>962.97533901714655</v>
      </c>
      <c r="H12" s="105">
        <v>1191.6819820337189</v>
      </c>
      <c r="I12" s="105">
        <v>1336.1282828862909</v>
      </c>
      <c r="J12" s="105">
        <v>1348.1654746240051</v>
      </c>
      <c r="K12" s="105">
        <v>1372.2398580994338</v>
      </c>
      <c r="L12" s="105">
        <v>1155.570406820576</v>
      </c>
      <c r="M12" s="105">
        <v>1203.7191737714331</v>
      </c>
      <c r="N12" s="105">
        <v>1263.9051324600048</v>
      </c>
      <c r="O12" s="106">
        <v>13830.733306633767</v>
      </c>
    </row>
    <row r="13" spans="1:15" ht="13" x14ac:dyDescent="0.3">
      <c r="A13" s="238"/>
      <c r="B13" s="107" t="s">
        <v>25</v>
      </c>
      <c r="C13" s="244">
        <v>189.27510547160296</v>
      </c>
      <c r="D13" s="245">
        <v>183.91826286391597</v>
      </c>
      <c r="E13" s="245">
        <v>46.425969266619575</v>
      </c>
      <c r="F13" s="245">
        <v>173.20457764854223</v>
      </c>
      <c r="G13" s="245">
        <v>142.84913620498332</v>
      </c>
      <c r="H13" s="245">
        <v>176.77580605366688</v>
      </c>
      <c r="I13" s="245">
        <v>198.20317648441437</v>
      </c>
      <c r="J13" s="245">
        <v>199.98879068697647</v>
      </c>
      <c r="K13" s="245">
        <v>203.56001909210113</v>
      </c>
      <c r="L13" s="245">
        <v>171.41896344598001</v>
      </c>
      <c r="M13" s="245">
        <v>178.56142025622898</v>
      </c>
      <c r="N13" s="245">
        <v>187.4894912690404</v>
      </c>
      <c r="O13" s="246">
        <v>2051.6707187440725</v>
      </c>
    </row>
    <row r="14" spans="1:15" ht="13" x14ac:dyDescent="0.3">
      <c r="A14" s="238"/>
      <c r="B14" s="107" t="s">
        <v>26</v>
      </c>
      <c r="C14" s="244">
        <v>6.378988291623636</v>
      </c>
      <c r="D14" s="245">
        <v>6.1984508871437214</v>
      </c>
      <c r="E14" s="245">
        <v>1.56465750549259</v>
      </c>
      <c r="F14" s="245">
        <v>5.837376078183893</v>
      </c>
      <c r="G14" s="245">
        <v>4.8143307861310456</v>
      </c>
      <c r="H14" s="245">
        <v>5.9577343478371692</v>
      </c>
      <c r="I14" s="245">
        <v>6.6798839657568259</v>
      </c>
      <c r="J14" s="245">
        <v>6.7400631005834635</v>
      </c>
      <c r="K14" s="245">
        <v>6.8604213702367405</v>
      </c>
      <c r="L14" s="245">
        <v>5.7771969433572545</v>
      </c>
      <c r="M14" s="245">
        <v>6.0179134826638068</v>
      </c>
      <c r="N14" s="245">
        <v>6.3188091567969975</v>
      </c>
      <c r="O14" s="246">
        <v>69.145825915807137</v>
      </c>
    </row>
    <row r="15" spans="1:15" ht="13" x14ac:dyDescent="0.3">
      <c r="A15" s="238"/>
      <c r="B15" s="107" t="s">
        <v>27</v>
      </c>
      <c r="C15" s="244">
        <v>195.6540937632266</v>
      </c>
      <c r="D15" s="245">
        <v>190.11671375105971</v>
      </c>
      <c r="E15" s="245">
        <v>47.990626772112165</v>
      </c>
      <c r="F15" s="245">
        <v>179.04195372672612</v>
      </c>
      <c r="G15" s="245">
        <v>147.66346699111438</v>
      </c>
      <c r="H15" s="245">
        <v>182.73354040150406</v>
      </c>
      <c r="I15" s="245">
        <v>204.8830604501712</v>
      </c>
      <c r="J15" s="245">
        <v>206.72885378755993</v>
      </c>
      <c r="K15" s="245">
        <v>210.42044046233787</v>
      </c>
      <c r="L15" s="245">
        <v>177.19616038933728</v>
      </c>
      <c r="M15" s="245">
        <v>184.57933373889279</v>
      </c>
      <c r="N15" s="245">
        <v>193.80830042583739</v>
      </c>
      <c r="O15" s="246">
        <v>2120.8165446598796</v>
      </c>
    </row>
    <row r="16" spans="1:15" x14ac:dyDescent="0.25">
      <c r="A16" s="238"/>
      <c r="B16" s="107" t="s">
        <v>49</v>
      </c>
      <c r="C16" s="108">
        <v>1086.6672187261163</v>
      </c>
      <c r="D16" s="96">
        <v>1055.9124861206603</v>
      </c>
      <c r="E16" s="96">
        <v>266.54101591395306</v>
      </c>
      <c r="F16" s="96">
        <v>994.40302090974797</v>
      </c>
      <c r="G16" s="96">
        <v>820.12620281216323</v>
      </c>
      <c r="H16" s="96">
        <v>1014.906175980052</v>
      </c>
      <c r="I16" s="96">
        <v>1137.9251064018765</v>
      </c>
      <c r="J16" s="96">
        <v>1148.1766839370287</v>
      </c>
      <c r="K16" s="96">
        <v>1168.6798390073327</v>
      </c>
      <c r="L16" s="96">
        <v>984.15144337459594</v>
      </c>
      <c r="M16" s="96">
        <v>1025.1577535152041</v>
      </c>
      <c r="N16" s="96">
        <v>1076.4156411909644</v>
      </c>
      <c r="O16" s="109">
        <v>11779.062587889694</v>
      </c>
    </row>
    <row r="17" spans="1:15" x14ac:dyDescent="0.25">
      <c r="A17" s="238"/>
      <c r="B17" s="107" t="s">
        <v>87</v>
      </c>
      <c r="C17" s="108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109">
        <v>0</v>
      </c>
    </row>
    <row r="18" spans="1:15" x14ac:dyDescent="0.25">
      <c r="A18" s="238"/>
      <c r="B18" s="107" t="s">
        <v>89</v>
      </c>
      <c r="C18" s="108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109">
        <v>0</v>
      </c>
    </row>
    <row r="19" spans="1:15" x14ac:dyDescent="0.25">
      <c r="A19" s="97" t="s">
        <v>13</v>
      </c>
      <c r="B19" s="97" t="s">
        <v>70</v>
      </c>
      <c r="C19" s="104">
        <v>11712.187560796045</v>
      </c>
      <c r="D19" s="105">
        <v>11928.857012074903</v>
      </c>
      <c r="E19" s="105">
        <v>7041.7571665628848</v>
      </c>
      <c r="F19" s="105">
        <v>7824.1746295143157</v>
      </c>
      <c r="G19" s="105">
        <v>8281.5879155474613</v>
      </c>
      <c r="H19" s="105">
        <v>10051.055100991467</v>
      </c>
      <c r="I19" s="105">
        <v>10929.770097844614</v>
      </c>
      <c r="J19" s="105">
        <v>10893.658522631471</v>
      </c>
      <c r="K19" s="105">
        <v>9124.1913371874634</v>
      </c>
      <c r="L19" s="105">
        <v>8582.5177089903191</v>
      </c>
      <c r="M19" s="105">
        <v>9184.3772958760346</v>
      </c>
      <c r="N19" s="105">
        <v>11892.74543686176</v>
      </c>
      <c r="O19" s="106">
        <v>117446.87978487874</v>
      </c>
    </row>
    <row r="20" spans="1:15" ht="13" x14ac:dyDescent="0.3">
      <c r="A20" s="238"/>
      <c r="B20" s="107" t="s">
        <v>25</v>
      </c>
      <c r="C20" s="244">
        <v>1737.402619093109</v>
      </c>
      <c r="D20" s="245">
        <v>1769.5436747392305</v>
      </c>
      <c r="E20" s="245">
        <v>1044.584308498941</v>
      </c>
      <c r="F20" s="245">
        <v>1160.6492316654894</v>
      </c>
      <c r="G20" s="245">
        <v>1228.5025713628575</v>
      </c>
      <c r="H20" s="245">
        <v>1490.9878591395136</v>
      </c>
      <c r="I20" s="245">
        <v>1621.3376959265606</v>
      </c>
      <c r="J20" s="245">
        <v>1615.9808533188734</v>
      </c>
      <c r="K20" s="245">
        <v>1353.4955655422164</v>
      </c>
      <c r="L20" s="245">
        <v>1273.1429264269136</v>
      </c>
      <c r="M20" s="245">
        <v>1362.4236365550269</v>
      </c>
      <c r="N20" s="245">
        <v>1764.1868321315433</v>
      </c>
      <c r="O20" s="246">
        <v>17422.237774400273</v>
      </c>
    </row>
    <row r="21" spans="1:15" ht="13" x14ac:dyDescent="0.3">
      <c r="A21" s="238"/>
      <c r="B21" s="107" t="s">
        <v>26</v>
      </c>
      <c r="C21" s="244">
        <v>58.554298186318846</v>
      </c>
      <c r="D21" s="245">
        <v>59.637522613198328</v>
      </c>
      <c r="E21" s="245">
        <v>35.20479387358327</v>
      </c>
      <c r="F21" s="245">
        <v>39.116437637314746</v>
      </c>
      <c r="G21" s="245">
        <v>41.403244760726992</v>
      </c>
      <c r="H21" s="245">
        <v>50.249577580242786</v>
      </c>
      <c r="I21" s="245">
        <v>54.64265442258737</v>
      </c>
      <c r="J21" s="245">
        <v>54.462117018107456</v>
      </c>
      <c r="K21" s="245">
        <v>45.615784198591655</v>
      </c>
      <c r="L21" s="245">
        <v>42.907723131392949</v>
      </c>
      <c r="M21" s="245">
        <v>45.916679872724849</v>
      </c>
      <c r="N21" s="245">
        <v>59.456985208718407</v>
      </c>
      <c r="O21" s="246">
        <v>587.16781850350765</v>
      </c>
    </row>
    <row r="22" spans="1:15" ht="13" x14ac:dyDescent="0.3">
      <c r="A22" s="238"/>
      <c r="B22" s="107" t="s">
        <v>27</v>
      </c>
      <c r="C22" s="244">
        <v>1795.9569172794279</v>
      </c>
      <c r="D22" s="245">
        <v>1829.1811973524289</v>
      </c>
      <c r="E22" s="245">
        <v>1079.7891023725242</v>
      </c>
      <c r="F22" s="245">
        <v>1199.7656693028041</v>
      </c>
      <c r="G22" s="245">
        <v>1269.9058161235844</v>
      </c>
      <c r="H22" s="245">
        <v>1541.2374367197565</v>
      </c>
      <c r="I22" s="245">
        <v>1675.980350349148</v>
      </c>
      <c r="J22" s="245">
        <v>1670.4429703369808</v>
      </c>
      <c r="K22" s="245">
        <v>1399.111349740808</v>
      </c>
      <c r="L22" s="245">
        <v>1316.0506495583065</v>
      </c>
      <c r="M22" s="245">
        <v>1408.3403164277518</v>
      </c>
      <c r="N22" s="245">
        <v>1823.6438173402616</v>
      </c>
      <c r="O22" s="246">
        <v>18009.405592903782</v>
      </c>
    </row>
    <row r="23" spans="1:15" x14ac:dyDescent="0.25">
      <c r="A23" s="238"/>
      <c r="B23" s="107" t="s">
        <v>49</v>
      </c>
      <c r="C23" s="108">
        <v>9974.7849417029356</v>
      </c>
      <c r="D23" s="96">
        <v>10159.313337335672</v>
      </c>
      <c r="E23" s="96">
        <v>5997.1728580639437</v>
      </c>
      <c r="F23" s="96">
        <v>6663.5253978488263</v>
      </c>
      <c r="G23" s="96">
        <v>7053.0853441846039</v>
      </c>
      <c r="H23" s="96">
        <v>8560.0672418519534</v>
      </c>
      <c r="I23" s="96">
        <v>9308.4324019180531</v>
      </c>
      <c r="J23" s="96">
        <v>9277.6776693125976</v>
      </c>
      <c r="K23" s="96">
        <v>7770.6957716452471</v>
      </c>
      <c r="L23" s="96">
        <v>7309.3747825634055</v>
      </c>
      <c r="M23" s="96">
        <v>7821.9536593210078</v>
      </c>
      <c r="N23" s="96">
        <v>10128.558604730217</v>
      </c>
      <c r="O23" s="109">
        <v>100024.64201047846</v>
      </c>
    </row>
    <row r="24" spans="1:15" x14ac:dyDescent="0.25">
      <c r="A24" s="238"/>
      <c r="B24" s="107" t="s">
        <v>87</v>
      </c>
      <c r="C24" s="108">
        <v>0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109">
        <v>0</v>
      </c>
    </row>
    <row r="25" spans="1:15" x14ac:dyDescent="0.25">
      <c r="A25" s="238"/>
      <c r="B25" s="107" t="s">
        <v>89</v>
      </c>
      <c r="C25" s="108"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109">
        <v>0</v>
      </c>
    </row>
    <row r="26" spans="1:15" x14ac:dyDescent="0.25">
      <c r="A26" s="97" t="s">
        <v>15</v>
      </c>
      <c r="B26" s="97" t="s">
        <v>70</v>
      </c>
      <c r="C26" s="104">
        <v>72.223150426285997</v>
      </c>
      <c r="D26" s="105">
        <v>60.18595868857166</v>
      </c>
      <c r="E26" s="105">
        <v>48.148766950857329</v>
      </c>
      <c r="F26" s="105">
        <v>84.260342164000321</v>
      </c>
      <c r="G26" s="105">
        <v>132.40910911485764</v>
      </c>
      <c r="H26" s="105">
        <v>144.44630085257199</v>
      </c>
      <c r="I26" s="105">
        <v>216.66945127885799</v>
      </c>
      <c r="J26" s="105">
        <v>192.59506780342932</v>
      </c>
      <c r="K26" s="105">
        <v>72.223150426285997</v>
      </c>
      <c r="L26" s="105">
        <v>84.260342164000321</v>
      </c>
      <c r="M26" s="105">
        <v>72.223150426285997</v>
      </c>
      <c r="N26" s="105">
        <v>96.297533901714658</v>
      </c>
      <c r="O26" s="106">
        <v>1275.942324197719</v>
      </c>
    </row>
    <row r="27" spans="1:15" ht="13" x14ac:dyDescent="0.3">
      <c r="A27" s="238"/>
      <c r="B27" s="107" t="s">
        <v>25</v>
      </c>
      <c r="C27" s="244">
        <v>10.713685215373751</v>
      </c>
      <c r="D27" s="245">
        <v>8.9280710128114578</v>
      </c>
      <c r="E27" s="245">
        <v>7.1424568102491648</v>
      </c>
      <c r="F27" s="245">
        <v>12.499299417936029</v>
      </c>
      <c r="G27" s="245">
        <v>19.641756228185187</v>
      </c>
      <c r="H27" s="245">
        <v>21.427370430747501</v>
      </c>
      <c r="I27" s="245">
        <v>32.141055646121259</v>
      </c>
      <c r="J27" s="245">
        <v>28.569827240996659</v>
      </c>
      <c r="K27" s="245">
        <v>10.713685215373751</v>
      </c>
      <c r="L27" s="245">
        <v>12.499299417936029</v>
      </c>
      <c r="M27" s="245">
        <v>10.713685215373751</v>
      </c>
      <c r="N27" s="245">
        <v>14.28491362049833</v>
      </c>
      <c r="O27" s="246">
        <v>189.27510547160284</v>
      </c>
    </row>
    <row r="28" spans="1:15" ht="13" x14ac:dyDescent="0.3">
      <c r="A28" s="238"/>
      <c r="B28" s="107" t="s">
        <v>26</v>
      </c>
      <c r="C28" s="244">
        <v>0.36107480895982841</v>
      </c>
      <c r="D28" s="245">
        <v>0.30089567413319035</v>
      </c>
      <c r="E28" s="245">
        <v>0.24071653930655229</v>
      </c>
      <c r="F28" s="245">
        <v>0.42125394378646647</v>
      </c>
      <c r="G28" s="245">
        <v>0.66197048309301876</v>
      </c>
      <c r="H28" s="245">
        <v>0.72214961791965682</v>
      </c>
      <c r="I28" s="245">
        <v>1.0832244268794853</v>
      </c>
      <c r="J28" s="245">
        <v>0.96286615722620916</v>
      </c>
      <c r="K28" s="245">
        <v>0.36107480895982841</v>
      </c>
      <c r="L28" s="245">
        <v>0.42125394378646647</v>
      </c>
      <c r="M28" s="245">
        <v>0.36107480895982841</v>
      </c>
      <c r="N28" s="245">
        <v>0.48143307861310458</v>
      </c>
      <c r="O28" s="246">
        <v>6.3789882916236351</v>
      </c>
    </row>
    <row r="29" spans="1:15" ht="13" x14ac:dyDescent="0.3">
      <c r="A29" s="238"/>
      <c r="B29" s="107" t="s">
        <v>27</v>
      </c>
      <c r="C29" s="244">
        <v>11.07476002433358</v>
      </c>
      <c r="D29" s="245">
        <v>9.2289666869446485</v>
      </c>
      <c r="E29" s="245">
        <v>7.383173349555717</v>
      </c>
      <c r="F29" s="245">
        <v>12.920553361722495</v>
      </c>
      <c r="G29" s="245">
        <v>20.303726711278205</v>
      </c>
      <c r="H29" s="245">
        <v>22.14952004866716</v>
      </c>
      <c r="I29" s="245">
        <v>33.224280073000742</v>
      </c>
      <c r="J29" s="245">
        <v>29.532693398222868</v>
      </c>
      <c r="K29" s="245">
        <v>11.07476002433358</v>
      </c>
      <c r="L29" s="245">
        <v>12.920553361722495</v>
      </c>
      <c r="M29" s="245">
        <v>11.07476002433358</v>
      </c>
      <c r="N29" s="245">
        <v>14.766346699111434</v>
      </c>
      <c r="O29" s="246">
        <v>195.65409376322651</v>
      </c>
    </row>
    <row r="30" spans="1:15" x14ac:dyDescent="0.25">
      <c r="A30" s="238"/>
      <c r="B30" s="107" t="s">
        <v>49</v>
      </c>
      <c r="C30" s="108">
        <v>61.509465210912246</v>
      </c>
      <c r="D30" s="96">
        <v>51.257887675760202</v>
      </c>
      <c r="E30" s="96">
        <v>41.006310140608164</v>
      </c>
      <c r="F30" s="96">
        <v>71.761042746064291</v>
      </c>
      <c r="G30" s="96">
        <v>112.76735288667246</v>
      </c>
      <c r="H30" s="96">
        <v>123.01893042182449</v>
      </c>
      <c r="I30" s="96">
        <v>184.52839563273673</v>
      </c>
      <c r="J30" s="96">
        <v>164.02524056243266</v>
      </c>
      <c r="K30" s="96">
        <v>61.509465210912246</v>
      </c>
      <c r="L30" s="96">
        <v>71.761042746064291</v>
      </c>
      <c r="M30" s="96">
        <v>61.509465210912246</v>
      </c>
      <c r="N30" s="96">
        <v>82.012620281216329</v>
      </c>
      <c r="O30" s="109">
        <v>1086.6672187261165</v>
      </c>
    </row>
    <row r="31" spans="1:15" x14ac:dyDescent="0.25">
      <c r="A31" s="238"/>
      <c r="B31" s="107" t="s">
        <v>87</v>
      </c>
      <c r="C31" s="108">
        <v>0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109">
        <v>0</v>
      </c>
    </row>
    <row r="32" spans="1:15" x14ac:dyDescent="0.25">
      <c r="A32" s="238"/>
      <c r="B32" s="107" t="s">
        <v>89</v>
      </c>
      <c r="C32" s="108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109">
        <v>0</v>
      </c>
    </row>
    <row r="33" spans="1:15" x14ac:dyDescent="0.25">
      <c r="A33" s="97" t="s">
        <v>16</v>
      </c>
      <c r="B33" s="97" t="s">
        <v>70</v>
      </c>
      <c r="C33" s="104">
        <v>24.074383475428665</v>
      </c>
      <c r="D33" s="105">
        <v>36.111575213142999</v>
      </c>
      <c r="E33" s="105">
        <v>12.037191737714332</v>
      </c>
      <c r="F33" s="105">
        <v>24.074383475428665</v>
      </c>
      <c r="G33" s="105">
        <v>24.074383475428665</v>
      </c>
      <c r="H33" s="105">
        <v>48.148766950857329</v>
      </c>
      <c r="I33" s="105">
        <v>72.223150426285997</v>
      </c>
      <c r="J33" s="105">
        <v>60.18595868857166</v>
      </c>
      <c r="K33" s="105">
        <v>24.074383475428665</v>
      </c>
      <c r="L33" s="105">
        <v>12.037191737714332</v>
      </c>
      <c r="M33" s="105">
        <v>36.111575213142999</v>
      </c>
      <c r="N33" s="105">
        <v>12.037191737714332</v>
      </c>
      <c r="O33" s="106">
        <v>385.19013560685863</v>
      </c>
    </row>
    <row r="34" spans="1:15" ht="13" x14ac:dyDescent="0.3">
      <c r="A34" s="238"/>
      <c r="B34" s="107" t="s">
        <v>25</v>
      </c>
      <c r="C34" s="244">
        <v>3.5712284051245824</v>
      </c>
      <c r="D34" s="245">
        <v>5.3568426076868754</v>
      </c>
      <c r="E34" s="245">
        <v>1.7856142025622912</v>
      </c>
      <c r="F34" s="245">
        <v>3.5712284051245824</v>
      </c>
      <c r="G34" s="245">
        <v>3.5712284051245824</v>
      </c>
      <c r="H34" s="245">
        <v>7.1424568102491648</v>
      </c>
      <c r="I34" s="245">
        <v>10.713685215373751</v>
      </c>
      <c r="J34" s="245">
        <v>8.9280710128114578</v>
      </c>
      <c r="K34" s="245">
        <v>3.5712284051245824</v>
      </c>
      <c r="L34" s="245">
        <v>1.7856142025622912</v>
      </c>
      <c r="M34" s="245">
        <v>5.3568426076868754</v>
      </c>
      <c r="N34" s="245">
        <v>1.7856142025622912</v>
      </c>
      <c r="O34" s="246">
        <v>57.13965448199334</v>
      </c>
    </row>
    <row r="35" spans="1:15" ht="13" x14ac:dyDescent="0.3">
      <c r="A35" s="238"/>
      <c r="B35" s="107" t="s">
        <v>26</v>
      </c>
      <c r="C35" s="244">
        <v>0.12035826965327615</v>
      </c>
      <c r="D35" s="245">
        <v>0.1805374044799142</v>
      </c>
      <c r="E35" s="245">
        <v>6.0179134826638073E-2</v>
      </c>
      <c r="F35" s="245">
        <v>0.12035826965327615</v>
      </c>
      <c r="G35" s="245">
        <v>0.12035826965327615</v>
      </c>
      <c r="H35" s="245">
        <v>0.24071653930655229</v>
      </c>
      <c r="I35" s="245">
        <v>0.36107480895982841</v>
      </c>
      <c r="J35" s="245">
        <v>0.30089567413319035</v>
      </c>
      <c r="K35" s="245">
        <v>0.12035826965327615</v>
      </c>
      <c r="L35" s="245">
        <v>6.0179134826638073E-2</v>
      </c>
      <c r="M35" s="245">
        <v>0.1805374044799142</v>
      </c>
      <c r="N35" s="245">
        <v>6.0179134826638073E-2</v>
      </c>
      <c r="O35" s="246">
        <v>1.9257323144524181</v>
      </c>
    </row>
    <row r="36" spans="1:15" ht="13" x14ac:dyDescent="0.3">
      <c r="A36" s="238"/>
      <c r="B36" s="107" t="s">
        <v>27</v>
      </c>
      <c r="C36" s="244">
        <v>3.6915866747778585</v>
      </c>
      <c r="D36" s="245">
        <v>5.53738001216679</v>
      </c>
      <c r="E36" s="245">
        <v>1.8457933373889293</v>
      </c>
      <c r="F36" s="245">
        <v>3.6915866747778585</v>
      </c>
      <c r="G36" s="245">
        <v>3.6915866747778585</v>
      </c>
      <c r="H36" s="245">
        <v>7.383173349555717</v>
      </c>
      <c r="I36" s="245">
        <v>11.07476002433358</v>
      </c>
      <c r="J36" s="245">
        <v>9.2289666869446485</v>
      </c>
      <c r="K36" s="245">
        <v>3.6915866747778585</v>
      </c>
      <c r="L36" s="245">
        <v>1.8457933373889293</v>
      </c>
      <c r="M36" s="245">
        <v>5.53738001216679</v>
      </c>
      <c r="N36" s="245">
        <v>1.8457933373889293</v>
      </c>
      <c r="O36" s="246">
        <v>59.065386796445743</v>
      </c>
    </row>
    <row r="37" spans="1:15" x14ac:dyDescent="0.25">
      <c r="A37" s="238"/>
      <c r="B37" s="107" t="s">
        <v>49</v>
      </c>
      <c r="C37" s="108">
        <v>20.503155070304082</v>
      </c>
      <c r="D37" s="96">
        <v>30.754732605456123</v>
      </c>
      <c r="E37" s="96">
        <v>10.251577535152041</v>
      </c>
      <c r="F37" s="96">
        <v>20.503155070304082</v>
      </c>
      <c r="G37" s="96">
        <v>20.503155070304082</v>
      </c>
      <c r="H37" s="96">
        <v>41.006310140608164</v>
      </c>
      <c r="I37" s="96">
        <v>61.509465210912246</v>
      </c>
      <c r="J37" s="96">
        <v>51.257887675760202</v>
      </c>
      <c r="K37" s="96">
        <v>20.503155070304082</v>
      </c>
      <c r="L37" s="96">
        <v>10.251577535152041</v>
      </c>
      <c r="M37" s="96">
        <v>30.754732605456123</v>
      </c>
      <c r="N37" s="96">
        <v>10.251577535152041</v>
      </c>
      <c r="O37" s="109">
        <v>328.05048112486531</v>
      </c>
    </row>
    <row r="38" spans="1:15" x14ac:dyDescent="0.25">
      <c r="A38" s="238"/>
      <c r="B38" s="107" t="s">
        <v>87</v>
      </c>
      <c r="C38" s="108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109">
        <v>0</v>
      </c>
    </row>
    <row r="39" spans="1:15" x14ac:dyDescent="0.25">
      <c r="A39" s="238"/>
      <c r="B39" s="107" t="s">
        <v>89</v>
      </c>
      <c r="C39" s="108">
        <v>0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109">
        <v>0</v>
      </c>
    </row>
    <row r="40" spans="1:15" x14ac:dyDescent="0.25">
      <c r="A40" s="97" t="s">
        <v>19</v>
      </c>
      <c r="B40" s="97" t="s">
        <v>70</v>
      </c>
      <c r="C40" s="104">
        <v>469.45047777085898</v>
      </c>
      <c r="D40" s="105">
        <v>493.52486124628763</v>
      </c>
      <c r="E40" s="105">
        <v>433.33890255771598</v>
      </c>
      <c r="F40" s="105">
        <v>373.15294386914428</v>
      </c>
      <c r="G40" s="105">
        <v>385.19013560685863</v>
      </c>
      <c r="H40" s="105">
        <v>469.45047777085898</v>
      </c>
      <c r="I40" s="105">
        <v>529.63643645943057</v>
      </c>
      <c r="J40" s="105">
        <v>457.41328603314463</v>
      </c>
      <c r="K40" s="105">
        <v>493.52486124628763</v>
      </c>
      <c r="L40" s="105">
        <v>505.56205298400198</v>
      </c>
      <c r="M40" s="105">
        <v>541.67362819714492</v>
      </c>
      <c r="N40" s="105">
        <v>517.59924472171633</v>
      </c>
      <c r="O40" s="106">
        <v>5669.5173084634498</v>
      </c>
    </row>
    <row r="41" spans="1:15" ht="13" x14ac:dyDescent="0.3">
      <c r="A41" s="238"/>
      <c r="B41" s="107" t="s">
        <v>25</v>
      </c>
      <c r="C41" s="244">
        <v>69.63895389992939</v>
      </c>
      <c r="D41" s="245">
        <v>73.210182305053934</v>
      </c>
      <c r="E41" s="245">
        <v>64.282111292242519</v>
      </c>
      <c r="F41" s="245">
        <v>55.35404027943099</v>
      </c>
      <c r="G41" s="245">
        <v>57.139654481993318</v>
      </c>
      <c r="H41" s="245">
        <v>69.63895389992939</v>
      </c>
      <c r="I41" s="245">
        <v>78.567024912740749</v>
      </c>
      <c r="J41" s="245">
        <v>67.853339697367062</v>
      </c>
      <c r="K41" s="245">
        <v>73.210182305053934</v>
      </c>
      <c r="L41" s="245">
        <v>74.995796507616262</v>
      </c>
      <c r="M41" s="245">
        <v>80.352639115303077</v>
      </c>
      <c r="N41" s="245">
        <v>76.781410710178591</v>
      </c>
      <c r="O41" s="246">
        <v>841.02428940683922</v>
      </c>
    </row>
    <row r="42" spans="1:15" ht="13" x14ac:dyDescent="0.3">
      <c r="A42" s="238"/>
      <c r="B42" s="107" t="s">
        <v>26</v>
      </c>
      <c r="C42" s="244">
        <v>2.3469862582388847</v>
      </c>
      <c r="D42" s="245">
        <v>2.4673445278921609</v>
      </c>
      <c r="E42" s="245">
        <v>2.1664488537589706</v>
      </c>
      <c r="F42" s="245">
        <v>1.86555317962578</v>
      </c>
      <c r="G42" s="245">
        <v>1.9257323144524183</v>
      </c>
      <c r="H42" s="245">
        <v>2.3469862582388847</v>
      </c>
      <c r="I42" s="245">
        <v>2.647881932372075</v>
      </c>
      <c r="J42" s="245">
        <v>2.2868071234122471</v>
      </c>
      <c r="K42" s="245">
        <v>2.4673445278921609</v>
      </c>
      <c r="L42" s="245">
        <v>2.5275236627187989</v>
      </c>
      <c r="M42" s="245">
        <v>2.7080610671987135</v>
      </c>
      <c r="N42" s="245">
        <v>2.587702797545437</v>
      </c>
      <c r="O42" s="246">
        <v>28.344372503346531</v>
      </c>
    </row>
    <row r="43" spans="1:15" ht="13" x14ac:dyDescent="0.3">
      <c r="A43" s="238"/>
      <c r="B43" s="107" t="s">
        <v>27</v>
      </c>
      <c r="C43" s="244">
        <v>71.985940158168276</v>
      </c>
      <c r="D43" s="245">
        <v>75.6775268329461</v>
      </c>
      <c r="E43" s="245">
        <v>66.448560146001483</v>
      </c>
      <c r="F43" s="245">
        <v>57.219593459056767</v>
      </c>
      <c r="G43" s="245">
        <v>59.065386796445736</v>
      </c>
      <c r="H43" s="245">
        <v>71.985940158168276</v>
      </c>
      <c r="I43" s="245">
        <v>81.214906845112822</v>
      </c>
      <c r="J43" s="245">
        <v>70.140146820779307</v>
      </c>
      <c r="K43" s="245">
        <v>75.6775268329461</v>
      </c>
      <c r="L43" s="245">
        <v>77.523320170335055</v>
      </c>
      <c r="M43" s="245">
        <v>83.06070018250179</v>
      </c>
      <c r="N43" s="245">
        <v>79.369113507724023</v>
      </c>
      <c r="O43" s="246">
        <v>869.36866191018578</v>
      </c>
    </row>
    <row r="44" spans="1:15" x14ac:dyDescent="0.25">
      <c r="A44" s="238"/>
      <c r="B44" s="107" t="s">
        <v>49</v>
      </c>
      <c r="C44" s="108">
        <v>399.81152387092959</v>
      </c>
      <c r="D44" s="96">
        <v>420.31467894123369</v>
      </c>
      <c r="E44" s="96">
        <v>369.05679126547346</v>
      </c>
      <c r="F44" s="96">
        <v>317.79890358971329</v>
      </c>
      <c r="G44" s="96">
        <v>328.05048112486531</v>
      </c>
      <c r="H44" s="96">
        <v>399.81152387092959</v>
      </c>
      <c r="I44" s="96">
        <v>451.06941154668982</v>
      </c>
      <c r="J44" s="96">
        <v>389.55994633577757</v>
      </c>
      <c r="K44" s="96">
        <v>420.31467894123369</v>
      </c>
      <c r="L44" s="96">
        <v>430.56625647638572</v>
      </c>
      <c r="M44" s="96">
        <v>461.32098908184184</v>
      </c>
      <c r="N44" s="96">
        <v>440.81783401153774</v>
      </c>
      <c r="O44" s="109">
        <v>4828.493019056611</v>
      </c>
    </row>
    <row r="45" spans="1:15" x14ac:dyDescent="0.25">
      <c r="A45" s="238"/>
      <c r="B45" s="107" t="s">
        <v>87</v>
      </c>
      <c r="C45" s="108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109">
        <v>0</v>
      </c>
    </row>
    <row r="46" spans="1:15" x14ac:dyDescent="0.25">
      <c r="A46" s="238"/>
      <c r="B46" s="107" t="s">
        <v>89</v>
      </c>
      <c r="C46" s="108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109">
        <v>0</v>
      </c>
    </row>
    <row r="47" spans="1:15" x14ac:dyDescent="0.25">
      <c r="A47" s="97" t="s">
        <v>8</v>
      </c>
      <c r="B47" s="97" t="s">
        <v>70</v>
      </c>
      <c r="C47" s="104">
        <v>914.82657206628926</v>
      </c>
      <c r="D47" s="105">
        <v>926.86376380400361</v>
      </c>
      <c r="E47" s="105">
        <v>1023.1612977057182</v>
      </c>
      <c r="F47" s="105">
        <v>987.04972249257526</v>
      </c>
      <c r="G47" s="105">
        <v>1408.3514333125768</v>
      </c>
      <c r="H47" s="105">
        <v>1576.8721176405775</v>
      </c>
      <c r="I47" s="105">
        <v>1769.4671854440069</v>
      </c>
      <c r="J47" s="105">
        <v>1697.2440350177208</v>
      </c>
      <c r="K47" s="105">
        <v>1336.1282828862909</v>
      </c>
      <c r="L47" s="105">
        <v>1179.6447902960047</v>
      </c>
      <c r="M47" s="105">
        <v>890.75218859086056</v>
      </c>
      <c r="N47" s="105">
        <v>938.90095554171796</v>
      </c>
      <c r="O47" s="106">
        <v>14649.262344798344</v>
      </c>
    </row>
    <row r="48" spans="1:15" ht="13" x14ac:dyDescent="0.3">
      <c r="A48" s="238"/>
      <c r="B48" s="107" t="s">
        <v>25</v>
      </c>
      <c r="C48" s="244">
        <v>135.70667939473412</v>
      </c>
      <c r="D48" s="245">
        <v>137.49229359729645</v>
      </c>
      <c r="E48" s="245">
        <v>151.77720721779474</v>
      </c>
      <c r="F48" s="245">
        <v>146.42036461010787</v>
      </c>
      <c r="G48" s="245">
        <v>208.91686169978789</v>
      </c>
      <c r="H48" s="245">
        <v>233.91546053566003</v>
      </c>
      <c r="I48" s="245">
        <v>262.48528777665683</v>
      </c>
      <c r="J48" s="245">
        <v>251.77160256128286</v>
      </c>
      <c r="K48" s="245">
        <v>198.20317648441437</v>
      </c>
      <c r="L48" s="245">
        <v>174.99019185110467</v>
      </c>
      <c r="M48" s="245">
        <v>132.13545098960947</v>
      </c>
      <c r="N48" s="245">
        <v>139.27790779985878</v>
      </c>
      <c r="O48" s="246">
        <v>2173.0924845183081</v>
      </c>
    </row>
    <row r="49" spans="1:15" ht="13" x14ac:dyDescent="0.3">
      <c r="A49" s="238"/>
      <c r="B49" s="107" t="s">
        <v>26</v>
      </c>
      <c r="C49" s="244">
        <v>4.5736142468244942</v>
      </c>
      <c r="D49" s="245">
        <v>4.633793381651131</v>
      </c>
      <c r="E49" s="245">
        <v>5.1152264602642363</v>
      </c>
      <c r="F49" s="245">
        <v>4.9346890557843217</v>
      </c>
      <c r="G49" s="245">
        <v>7.0409587747166542</v>
      </c>
      <c r="H49" s="245">
        <v>7.8834666622895879</v>
      </c>
      <c r="I49" s="245">
        <v>8.846332819515796</v>
      </c>
      <c r="J49" s="245">
        <v>8.4852580105559685</v>
      </c>
      <c r="K49" s="245">
        <v>6.6798839657568259</v>
      </c>
      <c r="L49" s="245">
        <v>5.8975552130105307</v>
      </c>
      <c r="M49" s="245">
        <v>4.4532559771712172</v>
      </c>
      <c r="N49" s="245">
        <v>4.6939725164777695</v>
      </c>
      <c r="O49" s="246">
        <v>73.238007084018534</v>
      </c>
    </row>
    <row r="50" spans="1:15" ht="13" x14ac:dyDescent="0.3">
      <c r="A50" s="238"/>
      <c r="B50" s="107" t="s">
        <v>27</v>
      </c>
      <c r="C50" s="244">
        <v>140.28029364155861</v>
      </c>
      <c r="D50" s="245">
        <v>142.12608697894757</v>
      </c>
      <c r="E50" s="245">
        <v>156.89243367805898</v>
      </c>
      <c r="F50" s="245">
        <v>151.3550536658922</v>
      </c>
      <c r="G50" s="245">
        <v>215.95782047450453</v>
      </c>
      <c r="H50" s="245">
        <v>241.79892719794961</v>
      </c>
      <c r="I50" s="245">
        <v>271.33162059617263</v>
      </c>
      <c r="J50" s="245">
        <v>260.25686057183884</v>
      </c>
      <c r="K50" s="245">
        <v>204.8830604501712</v>
      </c>
      <c r="L50" s="245">
        <v>180.88774706411519</v>
      </c>
      <c r="M50" s="245">
        <v>136.58870696678068</v>
      </c>
      <c r="N50" s="245">
        <v>143.97188031633655</v>
      </c>
      <c r="O50" s="246">
        <v>2246.3304916023262</v>
      </c>
    </row>
    <row r="51" spans="1:15" x14ac:dyDescent="0.25">
      <c r="A51" s="238"/>
      <c r="B51" s="107" t="s">
        <v>49</v>
      </c>
      <c r="C51" s="108">
        <v>779.11989267155514</v>
      </c>
      <c r="D51" s="96">
        <v>789.37147020670716</v>
      </c>
      <c r="E51" s="96">
        <v>871.38409048792346</v>
      </c>
      <c r="F51" s="96">
        <v>840.62935788246739</v>
      </c>
      <c r="G51" s="96">
        <v>1199.4345716127889</v>
      </c>
      <c r="H51" s="96">
        <v>1342.9566571049174</v>
      </c>
      <c r="I51" s="96">
        <v>1506.98189766735</v>
      </c>
      <c r="J51" s="96">
        <v>1445.4724324564379</v>
      </c>
      <c r="K51" s="96">
        <v>1137.9251064018765</v>
      </c>
      <c r="L51" s="96">
        <v>1004.6545984449</v>
      </c>
      <c r="M51" s="96">
        <v>758.61673760125109</v>
      </c>
      <c r="N51" s="96">
        <v>799.62304774185918</v>
      </c>
      <c r="O51" s="109">
        <v>12476.169860280035</v>
      </c>
    </row>
    <row r="52" spans="1:15" x14ac:dyDescent="0.25">
      <c r="A52" s="238"/>
      <c r="B52" s="107" t="s">
        <v>87</v>
      </c>
      <c r="C52" s="108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109">
        <v>0</v>
      </c>
    </row>
    <row r="53" spans="1:15" x14ac:dyDescent="0.25">
      <c r="A53" s="238"/>
      <c r="B53" s="107" t="s">
        <v>89</v>
      </c>
      <c r="C53" s="108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109">
        <v>0</v>
      </c>
    </row>
    <row r="54" spans="1:15" x14ac:dyDescent="0.25">
      <c r="A54" s="97" t="s">
        <v>21</v>
      </c>
      <c r="B54" s="97" t="s">
        <v>70</v>
      </c>
      <c r="C54" s="104">
        <v>31055.954683302978</v>
      </c>
      <c r="D54" s="105">
        <v>30670.764547696119</v>
      </c>
      <c r="E54" s="105">
        <v>30153.165302974401</v>
      </c>
      <c r="F54" s="105">
        <v>31730.037420614979</v>
      </c>
      <c r="G54" s="105">
        <v>35040.265148486418</v>
      </c>
      <c r="H54" s="105">
        <v>42178.319848951018</v>
      </c>
      <c r="I54" s="105">
        <v>44826.502031248172</v>
      </c>
      <c r="J54" s="105">
        <v>46620.043600167606</v>
      </c>
      <c r="K54" s="105">
        <v>40312.555129605302</v>
      </c>
      <c r="L54" s="105">
        <v>33571.72775648527</v>
      </c>
      <c r="M54" s="105">
        <v>28672.590719235541</v>
      </c>
      <c r="N54" s="105">
        <v>30249.462836876119</v>
      </c>
      <c r="O54" s="106">
        <v>425081.38902564388</v>
      </c>
    </row>
    <row r="55" spans="1:15" ht="13" x14ac:dyDescent="0.3">
      <c r="A55" s="238"/>
      <c r="B55" s="107" t="s">
        <v>25</v>
      </c>
      <c r="C55" s="244">
        <v>4606.884642610712</v>
      </c>
      <c r="D55" s="245">
        <v>4549.7449881287175</v>
      </c>
      <c r="E55" s="245">
        <v>4472.9635774185372</v>
      </c>
      <c r="F55" s="245">
        <v>4706.8790379542006</v>
      </c>
      <c r="G55" s="245">
        <v>5197.9229436588284</v>
      </c>
      <c r="H55" s="245">
        <v>6256.7921657782645</v>
      </c>
      <c r="I55" s="245">
        <v>6649.627290341974</v>
      </c>
      <c r="J55" s="245">
        <v>6915.6838065237534</v>
      </c>
      <c r="K55" s="245">
        <v>5980.0219643811142</v>
      </c>
      <c r="L55" s="245">
        <v>4980.0780109462285</v>
      </c>
      <c r="M55" s="245">
        <v>4253.3330305033778</v>
      </c>
      <c r="N55" s="245">
        <v>4487.2484910390413</v>
      </c>
      <c r="O55" s="246">
        <v>63057.179949284757</v>
      </c>
    </row>
    <row r="56" spans="1:15" ht="13" x14ac:dyDescent="0.3">
      <c r="A56" s="238"/>
      <c r="B56" s="107" t="s">
        <v>26</v>
      </c>
      <c r="C56" s="244">
        <v>155.26216785272624</v>
      </c>
      <c r="D56" s="245">
        <v>153.3364355382738</v>
      </c>
      <c r="E56" s="245">
        <v>150.74873274072837</v>
      </c>
      <c r="F56" s="245">
        <v>158.63219940301798</v>
      </c>
      <c r="G56" s="245">
        <v>175.18146148034344</v>
      </c>
      <c r="H56" s="245">
        <v>210.86768843253978</v>
      </c>
      <c r="I56" s="245">
        <v>224.10709809440016</v>
      </c>
      <c r="J56" s="245">
        <v>233.07378918356926</v>
      </c>
      <c r="K56" s="245">
        <v>201.53992253441092</v>
      </c>
      <c r="L56" s="245">
        <v>167.83960703149359</v>
      </c>
      <c r="M56" s="245">
        <v>143.34669915705189</v>
      </c>
      <c r="N56" s="245">
        <v>151.23016581934147</v>
      </c>
      <c r="O56" s="246">
        <v>2125.165967267897</v>
      </c>
    </row>
    <row r="57" spans="1:15" ht="13" x14ac:dyDescent="0.3">
      <c r="A57" s="238"/>
      <c r="B57" s="107" t="s">
        <v>27</v>
      </c>
      <c r="C57" s="244">
        <v>4762.1468104634387</v>
      </c>
      <c r="D57" s="245">
        <v>4703.0814236669912</v>
      </c>
      <c r="E57" s="245">
        <v>4623.7123101592651</v>
      </c>
      <c r="F57" s="245">
        <v>4865.5112373572183</v>
      </c>
      <c r="G57" s="245">
        <v>5373.1044051391718</v>
      </c>
      <c r="H57" s="245">
        <v>6467.659854210804</v>
      </c>
      <c r="I57" s="245">
        <v>6873.7343884363745</v>
      </c>
      <c r="J57" s="245">
        <v>7148.7575957073223</v>
      </c>
      <c r="K57" s="245">
        <v>6181.5618869155251</v>
      </c>
      <c r="L57" s="245">
        <v>5147.9176179777223</v>
      </c>
      <c r="M57" s="245">
        <v>4396.67972966043</v>
      </c>
      <c r="N57" s="245">
        <v>4638.4786568583831</v>
      </c>
      <c r="O57" s="246">
        <v>65182.345916552636</v>
      </c>
    </row>
    <row r="58" spans="1:15" x14ac:dyDescent="0.25">
      <c r="A58" s="238"/>
      <c r="B58" s="107" t="s">
        <v>49</v>
      </c>
      <c r="C58" s="108">
        <v>26449.070040692266</v>
      </c>
      <c r="D58" s="96">
        <v>26121.019559567401</v>
      </c>
      <c r="E58" s="96">
        <v>25680.201725555864</v>
      </c>
      <c r="F58" s="96">
        <v>27023.158382660778</v>
      </c>
      <c r="G58" s="96">
        <v>29842.34220482759</v>
      </c>
      <c r="H58" s="96">
        <v>35921.527683172753</v>
      </c>
      <c r="I58" s="96">
        <v>38176.874740906198</v>
      </c>
      <c r="J58" s="96">
        <v>39704.359793643853</v>
      </c>
      <c r="K58" s="96">
        <v>34332.533165224188</v>
      </c>
      <c r="L58" s="96">
        <v>28591.649745539042</v>
      </c>
      <c r="M58" s="96">
        <v>24419.257688732163</v>
      </c>
      <c r="N58" s="96">
        <v>25762.214345837077</v>
      </c>
      <c r="O58" s="109">
        <v>362024.20907635917</v>
      </c>
    </row>
    <row r="59" spans="1:15" x14ac:dyDescent="0.25">
      <c r="A59" s="238"/>
      <c r="B59" s="107" t="s">
        <v>87</v>
      </c>
      <c r="C59" s="108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109">
        <v>0</v>
      </c>
    </row>
    <row r="60" spans="1:15" x14ac:dyDescent="0.25">
      <c r="A60" s="238"/>
      <c r="B60" s="107" t="s">
        <v>89</v>
      </c>
      <c r="C60" s="108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109">
        <v>0</v>
      </c>
    </row>
    <row r="61" spans="1:15" x14ac:dyDescent="0.25">
      <c r="A61" s="97" t="s">
        <v>22</v>
      </c>
      <c r="B61" s="97" t="s">
        <v>70</v>
      </c>
      <c r="C61" s="104">
        <v>32067.078789270981</v>
      </c>
      <c r="D61" s="105">
        <v>33680.062482124704</v>
      </c>
      <c r="E61" s="105">
        <v>29154.078388744114</v>
      </c>
      <c r="F61" s="105">
        <v>30923.54557418812</v>
      </c>
      <c r="G61" s="105">
        <v>31272.624134581834</v>
      </c>
      <c r="H61" s="105">
        <v>38121.786233341292</v>
      </c>
      <c r="I61" s="105">
        <v>40637.559306523588</v>
      </c>
      <c r="J61" s="105">
        <v>41636.646220753879</v>
      </c>
      <c r="K61" s="105">
        <v>38194.009383767574</v>
      </c>
      <c r="L61" s="105">
        <v>30827.248040286406</v>
      </c>
      <c r="M61" s="105">
        <v>28371.660925792679</v>
      </c>
      <c r="N61" s="105">
        <v>32873.570635697841</v>
      </c>
      <c r="O61" s="106">
        <v>407759.87011507305</v>
      </c>
    </row>
    <row r="62" spans="1:15" ht="13" x14ac:dyDescent="0.3">
      <c r="A62" s="238"/>
      <c r="B62" s="107" t="s">
        <v>25</v>
      </c>
      <c r="C62" s="244">
        <v>4756.8762356259431</v>
      </c>
      <c r="D62" s="245">
        <v>4996.1485387692919</v>
      </c>
      <c r="E62" s="245">
        <v>4324.7575986058691</v>
      </c>
      <c r="F62" s="245">
        <v>4587.2428863825262</v>
      </c>
      <c r="G62" s="245">
        <v>4639.0256982568317</v>
      </c>
      <c r="H62" s="245">
        <v>5655.0401795147773</v>
      </c>
      <c r="I62" s="245">
        <v>6028.233547850301</v>
      </c>
      <c r="J62" s="245">
        <v>6176.4395266629654</v>
      </c>
      <c r="K62" s="245">
        <v>5665.7538647301481</v>
      </c>
      <c r="L62" s="245">
        <v>4572.9579727620294</v>
      </c>
      <c r="M62" s="245">
        <v>4208.6926754393171</v>
      </c>
      <c r="N62" s="245">
        <v>4876.5123871976175</v>
      </c>
      <c r="O62" s="246">
        <v>60487.681111797625</v>
      </c>
    </row>
    <row r="63" spans="1:15" ht="13" x14ac:dyDescent="0.3">
      <c r="A63" s="238"/>
      <c r="B63" s="107" t="s">
        <v>26</v>
      </c>
      <c r="C63" s="244">
        <v>160.31721517816382</v>
      </c>
      <c r="D63" s="245">
        <v>168.38121924493331</v>
      </c>
      <c r="E63" s="245">
        <v>145.75386455011741</v>
      </c>
      <c r="F63" s="245">
        <v>154.60019736963321</v>
      </c>
      <c r="G63" s="245">
        <v>156.3453922796057</v>
      </c>
      <c r="H63" s="245">
        <v>190.58731999596279</v>
      </c>
      <c r="I63" s="245">
        <v>203.16475917473014</v>
      </c>
      <c r="J63" s="245">
        <v>208.15962736534109</v>
      </c>
      <c r="K63" s="245">
        <v>190.9483948049226</v>
      </c>
      <c r="L63" s="245">
        <v>154.11876429102011</v>
      </c>
      <c r="M63" s="245">
        <v>141.84222078638595</v>
      </c>
      <c r="N63" s="245">
        <v>164.34921721154856</v>
      </c>
      <c r="O63" s="246">
        <v>2038.5681922523647</v>
      </c>
    </row>
    <row r="64" spans="1:15" ht="13" x14ac:dyDescent="0.3">
      <c r="A64" s="238"/>
      <c r="B64" s="107" t="s">
        <v>27</v>
      </c>
      <c r="C64" s="244">
        <v>4917.1934508041068</v>
      </c>
      <c r="D64" s="245">
        <v>5164.5297580142251</v>
      </c>
      <c r="E64" s="245">
        <v>4470.5114631559863</v>
      </c>
      <c r="F64" s="245">
        <v>4741.8430837521591</v>
      </c>
      <c r="G64" s="245">
        <v>4795.3710905364378</v>
      </c>
      <c r="H64" s="245">
        <v>5845.6274995107397</v>
      </c>
      <c r="I64" s="245">
        <v>6231.3983070250315</v>
      </c>
      <c r="J64" s="245">
        <v>6384.5991540283067</v>
      </c>
      <c r="K64" s="245">
        <v>5856.7022595350709</v>
      </c>
      <c r="L64" s="245">
        <v>4727.0767370530493</v>
      </c>
      <c r="M64" s="245">
        <v>4350.5348962257031</v>
      </c>
      <c r="N64" s="245">
        <v>5040.8616044091659</v>
      </c>
      <c r="O64" s="246">
        <v>62526.24930404999</v>
      </c>
    </row>
    <row r="65" spans="1:15" x14ac:dyDescent="0.25">
      <c r="A65" s="238"/>
      <c r="B65" s="107" t="s">
        <v>49</v>
      </c>
      <c r="C65" s="108">
        <v>27310.202553645038</v>
      </c>
      <c r="D65" s="96">
        <v>28683.913943355412</v>
      </c>
      <c r="E65" s="96">
        <v>24829.320790138245</v>
      </c>
      <c r="F65" s="96">
        <v>26336.302687805593</v>
      </c>
      <c r="G65" s="96">
        <v>26633.598436325003</v>
      </c>
      <c r="H65" s="96">
        <v>32466.746053826515</v>
      </c>
      <c r="I65" s="96">
        <v>34609.325758673287</v>
      </c>
      <c r="J65" s="96">
        <v>35460.206694090914</v>
      </c>
      <c r="K65" s="96">
        <v>32528.255519037426</v>
      </c>
      <c r="L65" s="96">
        <v>26254.290067524376</v>
      </c>
      <c r="M65" s="96">
        <v>24162.968250353362</v>
      </c>
      <c r="N65" s="96">
        <v>27997.058248500223</v>
      </c>
      <c r="O65" s="109">
        <v>347272.18900327542</v>
      </c>
    </row>
    <row r="66" spans="1:15" x14ac:dyDescent="0.25">
      <c r="A66" s="238"/>
      <c r="B66" s="107" t="s">
        <v>87</v>
      </c>
      <c r="C66" s="108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109">
        <v>0</v>
      </c>
    </row>
    <row r="67" spans="1:15" x14ac:dyDescent="0.25">
      <c r="A67" s="238"/>
      <c r="B67" s="107" t="s">
        <v>89</v>
      </c>
      <c r="C67" s="108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109">
        <v>0</v>
      </c>
    </row>
    <row r="68" spans="1:15" x14ac:dyDescent="0.25">
      <c r="A68" s="97" t="s">
        <v>9</v>
      </c>
      <c r="B68" s="97" t="s">
        <v>70</v>
      </c>
      <c r="C68" s="104">
        <v>481.48766950857328</v>
      </c>
      <c r="D68" s="105">
        <v>505.56205298400198</v>
      </c>
      <c r="E68" s="105">
        <v>349.07856039371563</v>
      </c>
      <c r="F68" s="105">
        <v>385.19013560685863</v>
      </c>
      <c r="G68" s="105">
        <v>288.89260170514399</v>
      </c>
      <c r="H68" s="105">
        <v>385.19013560685863</v>
      </c>
      <c r="I68" s="105">
        <v>505.56205298400198</v>
      </c>
      <c r="J68" s="105">
        <v>469.45047777085898</v>
      </c>
      <c r="K68" s="105">
        <v>433.33890255771598</v>
      </c>
      <c r="L68" s="105">
        <v>409.26451908228728</v>
      </c>
      <c r="M68" s="105">
        <v>445.37609429543028</v>
      </c>
      <c r="N68" s="105">
        <v>493.52486124628763</v>
      </c>
      <c r="O68" s="106">
        <v>5151.9180637417339</v>
      </c>
    </row>
    <row r="69" spans="1:15" ht="13" x14ac:dyDescent="0.3">
      <c r="A69" s="238"/>
      <c r="B69" s="107" t="s">
        <v>25</v>
      </c>
      <c r="C69" s="244">
        <v>71.424568102491662</v>
      </c>
      <c r="D69" s="245">
        <v>74.995796507616262</v>
      </c>
      <c r="E69" s="245">
        <v>51.782811874306446</v>
      </c>
      <c r="F69" s="245">
        <v>57.139654481993318</v>
      </c>
      <c r="G69" s="245">
        <v>42.854740861495003</v>
      </c>
      <c r="H69" s="245">
        <v>57.139654481993318</v>
      </c>
      <c r="I69" s="245">
        <v>74.995796507616262</v>
      </c>
      <c r="J69" s="245">
        <v>69.63895389992939</v>
      </c>
      <c r="K69" s="245">
        <v>64.282111292242519</v>
      </c>
      <c r="L69" s="245">
        <v>60.710882887117862</v>
      </c>
      <c r="M69" s="245">
        <v>66.067725494804733</v>
      </c>
      <c r="N69" s="245">
        <v>73.210182305053934</v>
      </c>
      <c r="O69" s="246">
        <v>764.24287869666068</v>
      </c>
    </row>
    <row r="70" spans="1:15" ht="13" x14ac:dyDescent="0.3">
      <c r="A70" s="238"/>
      <c r="B70" s="107" t="s">
        <v>26</v>
      </c>
      <c r="C70" s="244">
        <v>2.4071653930655228</v>
      </c>
      <c r="D70" s="245">
        <v>2.5275236627187989</v>
      </c>
      <c r="E70" s="245">
        <v>1.7451949099725041</v>
      </c>
      <c r="F70" s="245">
        <v>1.9257323144524183</v>
      </c>
      <c r="G70" s="245">
        <v>1.4442992358393136</v>
      </c>
      <c r="H70" s="245">
        <v>1.9257323144524183</v>
      </c>
      <c r="I70" s="245">
        <v>2.5275236627187989</v>
      </c>
      <c r="J70" s="245">
        <v>2.3469862582388847</v>
      </c>
      <c r="K70" s="245">
        <v>2.1664488537589706</v>
      </c>
      <c r="L70" s="245">
        <v>2.0460905841056944</v>
      </c>
      <c r="M70" s="245">
        <v>2.2266279885856086</v>
      </c>
      <c r="N70" s="245">
        <v>2.4673445278921609</v>
      </c>
      <c r="O70" s="246">
        <v>25.756669705801094</v>
      </c>
    </row>
    <row r="71" spans="1:15" ht="13" x14ac:dyDescent="0.3">
      <c r="A71" s="238"/>
      <c r="B71" s="107" t="s">
        <v>27</v>
      </c>
      <c r="C71" s="244">
        <v>73.831733495557188</v>
      </c>
      <c r="D71" s="245">
        <v>77.523320170335055</v>
      </c>
      <c r="E71" s="245">
        <v>53.528006784278951</v>
      </c>
      <c r="F71" s="245">
        <v>59.065386796445736</v>
      </c>
      <c r="G71" s="245">
        <v>44.29904009733432</v>
      </c>
      <c r="H71" s="245">
        <v>59.065386796445736</v>
      </c>
      <c r="I71" s="245">
        <v>77.523320170335055</v>
      </c>
      <c r="J71" s="245">
        <v>71.985940158168276</v>
      </c>
      <c r="K71" s="245">
        <v>66.448560146001483</v>
      </c>
      <c r="L71" s="245">
        <v>62.756973471223553</v>
      </c>
      <c r="M71" s="245">
        <v>68.294353483390339</v>
      </c>
      <c r="N71" s="245">
        <v>75.6775268329461</v>
      </c>
      <c r="O71" s="246">
        <v>789.99954840246176</v>
      </c>
    </row>
    <row r="72" spans="1:15" x14ac:dyDescent="0.25">
      <c r="A72" s="238"/>
      <c r="B72" s="107" t="s">
        <v>49</v>
      </c>
      <c r="C72" s="108">
        <v>410.06310140608161</v>
      </c>
      <c r="D72" s="96">
        <v>430.56625647638572</v>
      </c>
      <c r="E72" s="96">
        <v>297.29574851940919</v>
      </c>
      <c r="F72" s="96">
        <v>328.05048112486531</v>
      </c>
      <c r="G72" s="96">
        <v>246.03786084364899</v>
      </c>
      <c r="H72" s="96">
        <v>328.05048112486531</v>
      </c>
      <c r="I72" s="96">
        <v>430.56625647638572</v>
      </c>
      <c r="J72" s="96">
        <v>399.81152387092959</v>
      </c>
      <c r="K72" s="96">
        <v>369.05679126547346</v>
      </c>
      <c r="L72" s="96">
        <v>348.55363619516942</v>
      </c>
      <c r="M72" s="96">
        <v>379.30836880062554</v>
      </c>
      <c r="N72" s="96">
        <v>420.31467894123369</v>
      </c>
      <c r="O72" s="109">
        <v>4387.6751850450737</v>
      </c>
    </row>
    <row r="73" spans="1:15" x14ac:dyDescent="0.25">
      <c r="A73" s="238"/>
      <c r="B73" s="107" t="s">
        <v>87</v>
      </c>
      <c r="C73" s="108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109">
        <v>0</v>
      </c>
    </row>
    <row r="74" spans="1:15" x14ac:dyDescent="0.25">
      <c r="A74" s="238"/>
      <c r="B74" s="107" t="s">
        <v>89</v>
      </c>
      <c r="C74" s="108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109">
        <v>0</v>
      </c>
    </row>
    <row r="75" spans="1:15" x14ac:dyDescent="0.25">
      <c r="A75" s="97" t="s">
        <v>54</v>
      </c>
      <c r="B75" s="97" t="s">
        <v>70</v>
      </c>
      <c r="C75" s="104">
        <v>1312.0538994108622</v>
      </c>
      <c r="D75" s="105">
        <v>1251.8679407222905</v>
      </c>
      <c r="E75" s="105">
        <v>1047.2356811811469</v>
      </c>
      <c r="F75" s="105">
        <v>1227.7935572468618</v>
      </c>
      <c r="G75" s="105">
        <v>1107.4216398697185</v>
      </c>
      <c r="H75" s="105">
        <v>1721.3184184931495</v>
      </c>
      <c r="I75" s="105">
        <v>1661.1324598045778</v>
      </c>
      <c r="J75" s="105">
        <v>1829.6531441325785</v>
      </c>
      <c r="K75" s="105">
        <v>1637.0580763291491</v>
      </c>
      <c r="L75" s="105">
        <v>1287.9795159354335</v>
      </c>
      <c r="M75" s="105">
        <v>1143.5332150828615</v>
      </c>
      <c r="N75" s="105">
        <v>1191.6819820337189</v>
      </c>
      <c r="O75" s="106">
        <v>16418.729530242352</v>
      </c>
    </row>
    <row r="76" spans="1:15" x14ac:dyDescent="0.25">
      <c r="A76" s="238"/>
      <c r="B76" s="107" t="s">
        <v>25</v>
      </c>
      <c r="C76" s="108">
        <v>194.63194807928971</v>
      </c>
      <c r="D76" s="96">
        <v>185.7038770664783</v>
      </c>
      <c r="E76" s="96">
        <v>155.34843562291928</v>
      </c>
      <c r="F76" s="96">
        <v>182.13264866135364</v>
      </c>
      <c r="G76" s="96">
        <v>164.27650663573081</v>
      </c>
      <c r="H76" s="96">
        <v>255.34283096640752</v>
      </c>
      <c r="I76" s="96">
        <v>246.4147599535961</v>
      </c>
      <c r="J76" s="96">
        <v>271.41335878946825</v>
      </c>
      <c r="K76" s="96">
        <v>242.84353154847145</v>
      </c>
      <c r="L76" s="96">
        <v>191.06071967416506</v>
      </c>
      <c r="M76" s="96">
        <v>169.63334924341757</v>
      </c>
      <c r="N76" s="96">
        <v>176.77580605366688</v>
      </c>
      <c r="O76" s="109">
        <v>2435.5777722949651</v>
      </c>
    </row>
    <row r="77" spans="1:15" x14ac:dyDescent="0.25">
      <c r="A77" s="238"/>
      <c r="B77" s="107" t="s">
        <v>26</v>
      </c>
      <c r="C77" s="108">
        <v>6.5595256961035497</v>
      </c>
      <c r="D77" s="96">
        <v>6.2586300219703599</v>
      </c>
      <c r="E77" s="96">
        <v>5.2355847299175124</v>
      </c>
      <c r="F77" s="96">
        <v>6.1382717523170838</v>
      </c>
      <c r="G77" s="96">
        <v>5.5364804040507023</v>
      </c>
      <c r="H77" s="96">
        <v>8.6056162802092437</v>
      </c>
      <c r="I77" s="96">
        <v>8.304720606076053</v>
      </c>
      <c r="J77" s="96">
        <v>9.1472284936489885</v>
      </c>
      <c r="K77" s="96">
        <v>8.1843623364227778</v>
      </c>
      <c r="L77" s="96">
        <v>6.4391674264502745</v>
      </c>
      <c r="M77" s="96">
        <v>5.717017808530616</v>
      </c>
      <c r="N77" s="96">
        <v>5.9577343478371692</v>
      </c>
      <c r="O77" s="109">
        <v>82.084339903534328</v>
      </c>
    </row>
    <row r="78" spans="1:15" x14ac:dyDescent="0.25">
      <c r="A78" s="238"/>
      <c r="B78" s="107" t="s">
        <v>27</v>
      </c>
      <c r="C78" s="108">
        <v>201.19147377539326</v>
      </c>
      <c r="D78" s="96">
        <v>191.96250708844866</v>
      </c>
      <c r="E78" s="96">
        <v>160.5840203528368</v>
      </c>
      <c r="F78" s="96">
        <v>188.27092041367072</v>
      </c>
      <c r="G78" s="96">
        <v>169.81298703978152</v>
      </c>
      <c r="H78" s="96">
        <v>263.94844724661675</v>
      </c>
      <c r="I78" s="96">
        <v>254.71948055967215</v>
      </c>
      <c r="J78" s="96">
        <v>280.56058728311723</v>
      </c>
      <c r="K78" s="96">
        <v>251.02789388489421</v>
      </c>
      <c r="L78" s="96">
        <v>197.49988710061533</v>
      </c>
      <c r="M78" s="96">
        <v>175.35036705194818</v>
      </c>
      <c r="N78" s="96">
        <v>182.73354040150406</v>
      </c>
      <c r="O78" s="109">
        <v>2517.6621121984986</v>
      </c>
    </row>
    <row r="79" spans="1:15" x14ac:dyDescent="0.25">
      <c r="A79" s="238"/>
      <c r="B79" s="107" t="s">
        <v>49</v>
      </c>
      <c r="C79" s="108">
        <v>1117.4219513315725</v>
      </c>
      <c r="D79" s="96">
        <v>1066.1640636558122</v>
      </c>
      <c r="E79" s="96">
        <v>891.88724555822762</v>
      </c>
      <c r="F79" s="96">
        <v>1045.6609085855082</v>
      </c>
      <c r="G79" s="96">
        <v>943.14513323398774</v>
      </c>
      <c r="H79" s="96">
        <v>1465.9755875267419</v>
      </c>
      <c r="I79" s="96">
        <v>1414.7176998509817</v>
      </c>
      <c r="J79" s="96">
        <v>1558.2397853431103</v>
      </c>
      <c r="K79" s="96">
        <v>1394.2145447806777</v>
      </c>
      <c r="L79" s="96">
        <v>1096.9187962612684</v>
      </c>
      <c r="M79" s="96">
        <v>973.89986583944392</v>
      </c>
      <c r="N79" s="96">
        <v>1014.906175980052</v>
      </c>
      <c r="O79" s="109">
        <v>13983.151757947386</v>
      </c>
    </row>
    <row r="80" spans="1:15" x14ac:dyDescent="0.25">
      <c r="A80" s="238"/>
      <c r="B80" s="107" t="s">
        <v>87</v>
      </c>
      <c r="C80" s="108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109">
        <v>0</v>
      </c>
    </row>
    <row r="81" spans="1:15" x14ac:dyDescent="0.25">
      <c r="A81" s="238"/>
      <c r="B81" s="107" t="s">
        <v>89</v>
      </c>
      <c r="C81" s="108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109">
        <v>0</v>
      </c>
    </row>
    <row r="82" spans="1:15" x14ac:dyDescent="0.25">
      <c r="A82" s="97" t="s">
        <v>55</v>
      </c>
      <c r="B82" s="97" t="s">
        <v>70</v>
      </c>
      <c r="C82" s="104">
        <v>132.40910911485764</v>
      </c>
      <c r="D82" s="105">
        <v>120.37191737714332</v>
      </c>
      <c r="E82" s="105">
        <v>120.37191737714332</v>
      </c>
      <c r="F82" s="105">
        <v>84.260342164000321</v>
      </c>
      <c r="G82" s="105">
        <v>156.48349259028632</v>
      </c>
      <c r="H82" s="105">
        <v>144.44630085257199</v>
      </c>
      <c r="I82" s="105">
        <v>180.55787606571499</v>
      </c>
      <c r="J82" s="105">
        <v>144.44630085257199</v>
      </c>
      <c r="K82" s="105">
        <v>168.52068432800064</v>
      </c>
      <c r="L82" s="105">
        <v>132.40910911485764</v>
      </c>
      <c r="M82" s="105">
        <v>108.334725639429</v>
      </c>
      <c r="N82" s="105">
        <v>96.297533901714658</v>
      </c>
      <c r="O82" s="106">
        <v>1588.9093093782919</v>
      </c>
    </row>
    <row r="83" spans="1:15" x14ac:dyDescent="0.25">
      <c r="A83" s="238"/>
      <c r="B83" s="107" t="s">
        <v>25</v>
      </c>
      <c r="C83" s="108">
        <v>19.641756228185187</v>
      </c>
      <c r="D83" s="96">
        <v>17.856142025622916</v>
      </c>
      <c r="E83" s="96">
        <v>17.856142025622916</v>
      </c>
      <c r="F83" s="96">
        <v>12.499299417936029</v>
      </c>
      <c r="G83" s="96">
        <v>23.212984633309787</v>
      </c>
      <c r="H83" s="96">
        <v>21.427370430747501</v>
      </c>
      <c r="I83" s="96">
        <v>26.784213038434387</v>
      </c>
      <c r="J83" s="96">
        <v>21.427370430747501</v>
      </c>
      <c r="K83" s="96">
        <v>24.998598835872059</v>
      </c>
      <c r="L83" s="96">
        <v>19.641756228185187</v>
      </c>
      <c r="M83" s="96">
        <v>16.07052782306063</v>
      </c>
      <c r="N83" s="96">
        <v>14.28491362049833</v>
      </c>
      <c r="O83" s="109">
        <v>235.70107473822242</v>
      </c>
    </row>
    <row r="84" spans="1:15" x14ac:dyDescent="0.25">
      <c r="A84" s="238"/>
      <c r="B84" s="107" t="s">
        <v>26</v>
      </c>
      <c r="C84" s="108">
        <v>0.66197048309301876</v>
      </c>
      <c r="D84" s="96">
        <v>0.6017913482663807</v>
      </c>
      <c r="E84" s="96">
        <v>0.6017913482663807</v>
      </c>
      <c r="F84" s="96">
        <v>0.42125394378646647</v>
      </c>
      <c r="G84" s="96">
        <v>0.78232875274629499</v>
      </c>
      <c r="H84" s="96">
        <v>0.72214961791965682</v>
      </c>
      <c r="I84" s="96">
        <v>0.9026870223995711</v>
      </c>
      <c r="J84" s="96">
        <v>0.72214961791965682</v>
      </c>
      <c r="K84" s="96">
        <v>0.84250788757293293</v>
      </c>
      <c r="L84" s="96">
        <v>0.66197048309301876</v>
      </c>
      <c r="M84" s="96">
        <v>0.54161221343974264</v>
      </c>
      <c r="N84" s="96">
        <v>0.48143307861310458</v>
      </c>
      <c r="O84" s="109">
        <v>7.9436457971162255</v>
      </c>
    </row>
    <row r="85" spans="1:15" x14ac:dyDescent="0.25">
      <c r="A85" s="238"/>
      <c r="B85" s="107" t="s">
        <v>27</v>
      </c>
      <c r="C85" s="108">
        <v>20.303726711278205</v>
      </c>
      <c r="D85" s="96">
        <v>18.457933373889297</v>
      </c>
      <c r="E85" s="96">
        <v>18.457933373889297</v>
      </c>
      <c r="F85" s="96">
        <v>12.920553361722495</v>
      </c>
      <c r="G85" s="96">
        <v>23.995313386056083</v>
      </c>
      <c r="H85" s="96">
        <v>22.14952004866716</v>
      </c>
      <c r="I85" s="96">
        <v>27.68690006083396</v>
      </c>
      <c r="J85" s="96">
        <v>22.14952004866716</v>
      </c>
      <c r="K85" s="96">
        <v>25.841106723444991</v>
      </c>
      <c r="L85" s="96">
        <v>20.303726711278205</v>
      </c>
      <c r="M85" s="96">
        <v>16.612140036500371</v>
      </c>
      <c r="N85" s="96">
        <v>14.766346699111434</v>
      </c>
      <c r="O85" s="109">
        <v>243.64472053533868</v>
      </c>
    </row>
    <row r="86" spans="1:15" x14ac:dyDescent="0.25">
      <c r="A86" s="238"/>
      <c r="B86" s="107" t="s">
        <v>49</v>
      </c>
      <c r="C86" s="108">
        <v>112.76735288667246</v>
      </c>
      <c r="D86" s="96">
        <v>102.5157753515204</v>
      </c>
      <c r="E86" s="96">
        <v>102.5157753515204</v>
      </c>
      <c r="F86" s="96">
        <v>71.761042746064291</v>
      </c>
      <c r="G86" s="96">
        <v>133.27050795697653</v>
      </c>
      <c r="H86" s="96">
        <v>123.01893042182449</v>
      </c>
      <c r="I86" s="96">
        <v>153.77366302728061</v>
      </c>
      <c r="J86" s="96">
        <v>123.01893042182449</v>
      </c>
      <c r="K86" s="96">
        <v>143.52208549212858</v>
      </c>
      <c r="L86" s="96">
        <v>112.76735288667246</v>
      </c>
      <c r="M86" s="96">
        <v>92.264197816368366</v>
      </c>
      <c r="N86" s="96">
        <v>82.012620281216329</v>
      </c>
      <c r="O86" s="109">
        <v>1353.2082346400693</v>
      </c>
    </row>
    <row r="87" spans="1:15" x14ac:dyDescent="0.25">
      <c r="A87" s="238"/>
      <c r="B87" s="107" t="s">
        <v>87</v>
      </c>
      <c r="C87" s="108">
        <v>0</v>
      </c>
      <c r="D87" s="96">
        <v>0</v>
      </c>
      <c r="E87" s="96">
        <v>0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  <c r="O87" s="109">
        <v>0</v>
      </c>
    </row>
    <row r="88" spans="1:15" x14ac:dyDescent="0.25">
      <c r="A88" s="238"/>
      <c r="B88" s="107" t="s">
        <v>89</v>
      </c>
      <c r="C88" s="108">
        <v>0</v>
      </c>
      <c r="D88" s="96">
        <v>0</v>
      </c>
      <c r="E88" s="96">
        <v>0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109">
        <v>0</v>
      </c>
    </row>
    <row r="89" spans="1:15" x14ac:dyDescent="0.25">
      <c r="A89" s="97" t="s">
        <v>56</v>
      </c>
      <c r="B89" s="97" t="s">
        <v>70</v>
      </c>
      <c r="C89" s="104">
        <v>240.74383475428664</v>
      </c>
      <c r="D89" s="105">
        <v>228.70664301657231</v>
      </c>
      <c r="E89" s="105">
        <v>228.70664301657231</v>
      </c>
      <c r="F89" s="105">
        <v>252.78102649200099</v>
      </c>
      <c r="G89" s="105">
        <v>276.85540996742964</v>
      </c>
      <c r="H89" s="105">
        <v>349.07856039371563</v>
      </c>
      <c r="I89" s="105">
        <v>397.22732734457298</v>
      </c>
      <c r="J89" s="105">
        <v>409.26451908228728</v>
      </c>
      <c r="K89" s="105">
        <v>361.11575213142999</v>
      </c>
      <c r="L89" s="105">
        <v>252.78102649200099</v>
      </c>
      <c r="M89" s="105">
        <v>192.59506780342932</v>
      </c>
      <c r="N89" s="105">
        <v>228.70664301657231</v>
      </c>
      <c r="O89" s="106">
        <v>3418.56245351087</v>
      </c>
    </row>
    <row r="90" spans="1:15" x14ac:dyDescent="0.25">
      <c r="A90" s="238"/>
      <c r="B90" s="107" t="s">
        <v>25</v>
      </c>
      <c r="C90" s="108">
        <v>35.712284051245831</v>
      </c>
      <c r="D90" s="96">
        <v>33.926669848683531</v>
      </c>
      <c r="E90" s="96">
        <v>33.926669848683531</v>
      </c>
      <c r="F90" s="96">
        <v>37.497898253808131</v>
      </c>
      <c r="G90" s="96">
        <v>41.069126658932703</v>
      </c>
      <c r="H90" s="96">
        <v>51.782811874306446</v>
      </c>
      <c r="I90" s="96">
        <v>58.925268684555647</v>
      </c>
      <c r="J90" s="96">
        <v>60.710882887117862</v>
      </c>
      <c r="K90" s="96">
        <v>53.568426076868775</v>
      </c>
      <c r="L90" s="96">
        <v>37.497898253808131</v>
      </c>
      <c r="M90" s="96">
        <v>28.569827240996659</v>
      </c>
      <c r="N90" s="96">
        <v>33.926669848683531</v>
      </c>
      <c r="O90" s="109">
        <v>507.11443352769084</v>
      </c>
    </row>
    <row r="91" spans="1:15" x14ac:dyDescent="0.25">
      <c r="A91" s="238"/>
      <c r="B91" s="107" t="s">
        <v>26</v>
      </c>
      <c r="C91" s="108">
        <v>1.2035826965327614</v>
      </c>
      <c r="D91" s="96">
        <v>1.1434035617061236</v>
      </c>
      <c r="E91" s="96">
        <v>1.1434035617061236</v>
      </c>
      <c r="F91" s="96">
        <v>1.2637618313593995</v>
      </c>
      <c r="G91" s="96">
        <v>1.3841201010126756</v>
      </c>
      <c r="H91" s="96">
        <v>1.7451949099725041</v>
      </c>
      <c r="I91" s="96">
        <v>1.9859114492790564</v>
      </c>
      <c r="J91" s="96">
        <v>2.0460905841056944</v>
      </c>
      <c r="K91" s="96">
        <v>1.8053740447991422</v>
      </c>
      <c r="L91" s="96">
        <v>1.2637618313593995</v>
      </c>
      <c r="M91" s="96">
        <v>0.96286615722620916</v>
      </c>
      <c r="N91" s="96">
        <v>1.1434035617061236</v>
      </c>
      <c r="O91" s="109">
        <v>17.090874290765214</v>
      </c>
    </row>
    <row r="92" spans="1:15" x14ac:dyDescent="0.25">
      <c r="A92" s="238"/>
      <c r="B92" s="107" t="s">
        <v>27</v>
      </c>
      <c r="C92" s="108">
        <v>36.915866747778594</v>
      </c>
      <c r="D92" s="96">
        <v>35.070073410389654</v>
      </c>
      <c r="E92" s="96">
        <v>35.070073410389654</v>
      </c>
      <c r="F92" s="96">
        <v>38.761660085167527</v>
      </c>
      <c r="G92" s="96">
        <v>42.45324675994538</v>
      </c>
      <c r="H92" s="96">
        <v>53.528006784278951</v>
      </c>
      <c r="I92" s="96">
        <v>60.911180133834705</v>
      </c>
      <c r="J92" s="96">
        <v>62.756973471223553</v>
      </c>
      <c r="K92" s="96">
        <v>55.373800121667919</v>
      </c>
      <c r="L92" s="96">
        <v>38.761660085167527</v>
      </c>
      <c r="M92" s="96">
        <v>29.532693398222868</v>
      </c>
      <c r="N92" s="96">
        <v>35.070073410389654</v>
      </c>
      <c r="O92" s="109">
        <v>524.20530781845594</v>
      </c>
    </row>
    <row r="93" spans="1:15" x14ac:dyDescent="0.25">
      <c r="A93" s="238"/>
      <c r="B93" s="107" t="s">
        <v>49</v>
      </c>
      <c r="C93" s="108">
        <v>205.03155070304081</v>
      </c>
      <c r="D93" s="96">
        <v>194.77997316788878</v>
      </c>
      <c r="E93" s="96">
        <v>194.77997316788878</v>
      </c>
      <c r="F93" s="96">
        <v>215.28312823819286</v>
      </c>
      <c r="G93" s="96">
        <v>235.78628330849693</v>
      </c>
      <c r="H93" s="96">
        <v>297.29574851940919</v>
      </c>
      <c r="I93" s="96">
        <v>338.30205866001734</v>
      </c>
      <c r="J93" s="96">
        <v>348.55363619516942</v>
      </c>
      <c r="K93" s="96">
        <v>307.54732605456121</v>
      </c>
      <c r="L93" s="96">
        <v>215.28312823819286</v>
      </c>
      <c r="M93" s="96">
        <v>164.02524056243266</v>
      </c>
      <c r="N93" s="96">
        <v>194.77997316788878</v>
      </c>
      <c r="O93" s="109">
        <v>2911.4480199831801</v>
      </c>
    </row>
    <row r="94" spans="1:15" x14ac:dyDescent="0.25">
      <c r="A94" s="238"/>
      <c r="B94" s="107" t="s">
        <v>87</v>
      </c>
      <c r="C94" s="108">
        <v>0</v>
      </c>
      <c r="D94" s="96">
        <v>0</v>
      </c>
      <c r="E94" s="96">
        <v>0</v>
      </c>
      <c r="F94" s="96">
        <v>0</v>
      </c>
      <c r="G94" s="96">
        <v>0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109">
        <v>0</v>
      </c>
    </row>
    <row r="95" spans="1:15" x14ac:dyDescent="0.25">
      <c r="A95" s="238"/>
      <c r="B95" s="107" t="s">
        <v>89</v>
      </c>
      <c r="C95" s="108">
        <v>0</v>
      </c>
      <c r="D95" s="96">
        <v>0</v>
      </c>
      <c r="E95" s="96">
        <v>0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109">
        <v>0</v>
      </c>
    </row>
    <row r="96" spans="1:15" x14ac:dyDescent="0.25">
      <c r="A96" s="97" t="s">
        <v>57</v>
      </c>
      <c r="B96" s="97" t="s">
        <v>70</v>
      </c>
      <c r="C96" s="104">
        <v>421.30171082000163</v>
      </c>
      <c r="D96" s="105">
        <v>409.26451908228728</v>
      </c>
      <c r="E96" s="105">
        <v>361.11575213142999</v>
      </c>
      <c r="F96" s="105">
        <v>385.19013560685863</v>
      </c>
      <c r="G96" s="105">
        <v>433.33890255771598</v>
      </c>
      <c r="H96" s="105">
        <v>505.56205298400198</v>
      </c>
      <c r="I96" s="105">
        <v>565.74801167257363</v>
      </c>
      <c r="J96" s="105">
        <v>577.78520341028798</v>
      </c>
      <c r="K96" s="105">
        <v>529.63643645943057</v>
      </c>
      <c r="L96" s="105">
        <v>361.11575213142999</v>
      </c>
      <c r="M96" s="105">
        <v>373.15294386914428</v>
      </c>
      <c r="N96" s="105">
        <v>409.26451908228728</v>
      </c>
      <c r="O96" s="106">
        <v>5332.4759398074493</v>
      </c>
    </row>
    <row r="97" spans="1:15" x14ac:dyDescent="0.25">
      <c r="A97" s="238"/>
      <c r="B97" s="107" t="s">
        <v>25</v>
      </c>
      <c r="C97" s="108">
        <v>62.49649708968019</v>
      </c>
      <c r="D97" s="96">
        <v>60.710882887117862</v>
      </c>
      <c r="E97" s="96">
        <v>53.568426076868775</v>
      </c>
      <c r="F97" s="96">
        <v>57.139654481993318</v>
      </c>
      <c r="G97" s="96">
        <v>64.282111292242519</v>
      </c>
      <c r="H97" s="96">
        <v>74.995796507616262</v>
      </c>
      <c r="I97" s="96">
        <v>83.923867520427677</v>
      </c>
      <c r="J97" s="96">
        <v>85.709481722990006</v>
      </c>
      <c r="K97" s="96">
        <v>78.567024912740749</v>
      </c>
      <c r="L97" s="96">
        <v>53.568426076868775</v>
      </c>
      <c r="M97" s="96">
        <v>55.35404027943099</v>
      </c>
      <c r="N97" s="96">
        <v>60.710882887117862</v>
      </c>
      <c r="O97" s="109">
        <v>791.02709173509493</v>
      </c>
    </row>
    <row r="98" spans="1:15" x14ac:dyDescent="0.25">
      <c r="A98" s="238"/>
      <c r="B98" s="107" t="s">
        <v>26</v>
      </c>
      <c r="C98" s="108">
        <v>2.1062697189323325</v>
      </c>
      <c r="D98" s="96">
        <v>2.0460905841056944</v>
      </c>
      <c r="E98" s="96">
        <v>1.8053740447991422</v>
      </c>
      <c r="F98" s="96">
        <v>1.9257323144524183</v>
      </c>
      <c r="G98" s="96">
        <v>2.1664488537589706</v>
      </c>
      <c r="H98" s="96">
        <v>2.5275236627187989</v>
      </c>
      <c r="I98" s="96">
        <v>2.8284193368519897</v>
      </c>
      <c r="J98" s="96">
        <v>2.8885984716786273</v>
      </c>
      <c r="K98" s="96">
        <v>2.647881932372075</v>
      </c>
      <c r="L98" s="96">
        <v>1.8053740447991422</v>
      </c>
      <c r="M98" s="96">
        <v>1.86555317962578</v>
      </c>
      <c r="N98" s="96">
        <v>2.0460905841056944</v>
      </c>
      <c r="O98" s="109">
        <v>26.659356728200667</v>
      </c>
    </row>
    <row r="99" spans="1:15" x14ac:dyDescent="0.25">
      <c r="A99" s="238"/>
      <c r="B99" s="107" t="s">
        <v>27</v>
      </c>
      <c r="C99" s="108">
        <v>64.602766808612529</v>
      </c>
      <c r="D99" s="96">
        <v>62.756973471223553</v>
      </c>
      <c r="E99" s="96">
        <v>55.373800121667919</v>
      </c>
      <c r="F99" s="96">
        <v>59.065386796445736</v>
      </c>
      <c r="G99" s="96">
        <v>66.448560146001483</v>
      </c>
      <c r="H99" s="96">
        <v>77.523320170335055</v>
      </c>
      <c r="I99" s="96">
        <v>86.752286857279671</v>
      </c>
      <c r="J99" s="96">
        <v>88.59808019466864</v>
      </c>
      <c r="K99" s="96">
        <v>81.214906845112822</v>
      </c>
      <c r="L99" s="96">
        <v>55.373800121667919</v>
      </c>
      <c r="M99" s="96">
        <v>57.219593459056767</v>
      </c>
      <c r="N99" s="96">
        <v>62.756973471223553</v>
      </c>
      <c r="O99" s="109">
        <v>817.68644846329573</v>
      </c>
    </row>
    <row r="100" spans="1:15" x14ac:dyDescent="0.25">
      <c r="A100" s="238"/>
      <c r="B100" s="107" t="s">
        <v>49</v>
      </c>
      <c r="C100" s="108">
        <v>358.80521373032144</v>
      </c>
      <c r="D100" s="96">
        <v>348.55363619516942</v>
      </c>
      <c r="E100" s="96">
        <v>307.54732605456121</v>
      </c>
      <c r="F100" s="96">
        <v>328.05048112486531</v>
      </c>
      <c r="G100" s="96">
        <v>369.05679126547346</v>
      </c>
      <c r="H100" s="96">
        <v>430.56625647638572</v>
      </c>
      <c r="I100" s="96">
        <v>481.82414415214595</v>
      </c>
      <c r="J100" s="96">
        <v>492.07572168729797</v>
      </c>
      <c r="K100" s="96">
        <v>451.06941154668982</v>
      </c>
      <c r="L100" s="96">
        <v>307.54732605456121</v>
      </c>
      <c r="M100" s="96">
        <v>317.79890358971329</v>
      </c>
      <c r="N100" s="96">
        <v>348.55363619516942</v>
      </c>
      <c r="O100" s="109">
        <v>4541.4488480723539</v>
      </c>
    </row>
    <row r="101" spans="1:15" x14ac:dyDescent="0.25">
      <c r="A101" s="238"/>
      <c r="B101" s="107" t="s">
        <v>87</v>
      </c>
      <c r="C101" s="108">
        <v>0</v>
      </c>
      <c r="D101" s="96">
        <v>0</v>
      </c>
      <c r="E101" s="96">
        <v>0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109">
        <v>0</v>
      </c>
    </row>
    <row r="102" spans="1:15" x14ac:dyDescent="0.25">
      <c r="A102" s="238"/>
      <c r="B102" s="107" t="s">
        <v>89</v>
      </c>
      <c r="C102" s="108">
        <v>0</v>
      </c>
      <c r="D102" s="96">
        <v>0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0</v>
      </c>
      <c r="M102" s="96">
        <v>0</v>
      </c>
      <c r="N102" s="96">
        <v>0</v>
      </c>
      <c r="O102" s="109">
        <v>0</v>
      </c>
    </row>
    <row r="103" spans="1:15" x14ac:dyDescent="0.25">
      <c r="A103" s="97" t="s">
        <v>81</v>
      </c>
      <c r="B103" s="97" t="s">
        <v>70</v>
      </c>
      <c r="C103" s="104">
        <v>1745.3928019685782</v>
      </c>
      <c r="D103" s="105">
        <v>1757.4299937062924</v>
      </c>
      <c r="E103" s="105">
        <v>1167.6075985582902</v>
      </c>
      <c r="F103" s="105">
        <v>1131.4960233451473</v>
      </c>
      <c r="G103" s="105">
        <v>1275.9423241977192</v>
      </c>
      <c r="H103" s="105">
        <v>1588.9093093782919</v>
      </c>
      <c r="I103" s="105">
        <v>1673.1696515422923</v>
      </c>
      <c r="J103" s="105">
        <v>1637.0580763291491</v>
      </c>
      <c r="K103" s="105">
        <v>1396.3142415748625</v>
      </c>
      <c r="L103" s="105">
        <v>938.90095554171796</v>
      </c>
      <c r="M103" s="105">
        <v>1312.0538994108622</v>
      </c>
      <c r="N103" s="105">
        <v>1721.3184184931495</v>
      </c>
      <c r="O103" s="106">
        <v>17345.593294046354</v>
      </c>
    </row>
    <row r="104" spans="1:15" x14ac:dyDescent="0.25">
      <c r="A104" s="238"/>
      <c r="B104" s="107" t="s">
        <v>25</v>
      </c>
      <c r="C104" s="108">
        <v>258.91405937153218</v>
      </c>
      <c r="D104" s="96">
        <v>260.6996735740945</v>
      </c>
      <c r="E104" s="96">
        <v>173.20457764854223</v>
      </c>
      <c r="F104" s="96">
        <v>167.84773504085535</v>
      </c>
      <c r="G104" s="96">
        <v>189.27510547160296</v>
      </c>
      <c r="H104" s="96">
        <v>235.70107473822259</v>
      </c>
      <c r="I104" s="96">
        <v>248.20037415615866</v>
      </c>
      <c r="J104" s="96">
        <v>242.84353154847145</v>
      </c>
      <c r="K104" s="96">
        <v>207.13124749722579</v>
      </c>
      <c r="L104" s="96">
        <v>139.27790779985878</v>
      </c>
      <c r="M104" s="96">
        <v>194.63194807928971</v>
      </c>
      <c r="N104" s="96">
        <v>255.34283096640752</v>
      </c>
      <c r="O104" s="109">
        <v>2573.0700658922624</v>
      </c>
    </row>
    <row r="105" spans="1:15" x14ac:dyDescent="0.25">
      <c r="A105" s="238"/>
      <c r="B105" s="107" t="s">
        <v>26</v>
      </c>
      <c r="C105" s="108">
        <v>8.7259745498625207</v>
      </c>
      <c r="D105" s="96">
        <v>8.7861536846891592</v>
      </c>
      <c r="E105" s="96">
        <v>5.837376078183893</v>
      </c>
      <c r="F105" s="96">
        <v>5.6568386737039793</v>
      </c>
      <c r="G105" s="96">
        <v>6.378988291623636</v>
      </c>
      <c r="H105" s="96">
        <v>7.9436457971162255</v>
      </c>
      <c r="I105" s="96">
        <v>8.3648997409026915</v>
      </c>
      <c r="J105" s="96">
        <v>8.1843623364227778</v>
      </c>
      <c r="K105" s="96">
        <v>6.9807796398900166</v>
      </c>
      <c r="L105" s="96">
        <v>4.6939725164777695</v>
      </c>
      <c r="M105" s="96">
        <v>6.5595256961035497</v>
      </c>
      <c r="N105" s="96">
        <v>8.6056162802092437</v>
      </c>
      <c r="O105" s="109">
        <v>86.718133285185473</v>
      </c>
    </row>
    <row r="106" spans="1:15" x14ac:dyDescent="0.25">
      <c r="A106" s="238"/>
      <c r="B106" s="107" t="s">
        <v>27</v>
      </c>
      <c r="C106" s="108">
        <v>267.64003392139472</v>
      </c>
      <c r="D106" s="96">
        <v>269.48582725878367</v>
      </c>
      <c r="E106" s="96">
        <v>179.04195372672612</v>
      </c>
      <c r="F106" s="96">
        <v>173.50457371455934</v>
      </c>
      <c r="G106" s="96">
        <v>195.6540937632266</v>
      </c>
      <c r="H106" s="96">
        <v>243.64472053533882</v>
      </c>
      <c r="I106" s="96">
        <v>256.56527389706133</v>
      </c>
      <c r="J106" s="96">
        <v>251.02789388489421</v>
      </c>
      <c r="K106" s="96">
        <v>214.1120271371158</v>
      </c>
      <c r="L106" s="96">
        <v>143.97188031633655</v>
      </c>
      <c r="M106" s="96">
        <v>201.19147377539326</v>
      </c>
      <c r="N106" s="96">
        <v>263.94844724661675</v>
      </c>
      <c r="O106" s="109">
        <v>2659.7881991774475</v>
      </c>
    </row>
    <row r="107" spans="1:15" x14ac:dyDescent="0.25">
      <c r="A107" s="238"/>
      <c r="B107" s="107" t="s">
        <v>49</v>
      </c>
      <c r="C107" s="108">
        <v>1486.478742597046</v>
      </c>
      <c r="D107" s="96">
        <v>1496.7303201321979</v>
      </c>
      <c r="E107" s="96">
        <v>994.40302090974797</v>
      </c>
      <c r="F107" s="96">
        <v>963.6482883042919</v>
      </c>
      <c r="G107" s="96">
        <v>1086.6672187261163</v>
      </c>
      <c r="H107" s="96">
        <v>1353.2082346400693</v>
      </c>
      <c r="I107" s="96">
        <v>1424.9692773861336</v>
      </c>
      <c r="J107" s="96">
        <v>1394.2145447806777</v>
      </c>
      <c r="K107" s="96">
        <v>1189.1829940776367</v>
      </c>
      <c r="L107" s="96">
        <v>799.62304774185918</v>
      </c>
      <c r="M107" s="96">
        <v>1117.4219513315725</v>
      </c>
      <c r="N107" s="96">
        <v>1465.9755875267419</v>
      </c>
      <c r="O107" s="109">
        <v>14772.523228154092</v>
      </c>
    </row>
    <row r="108" spans="1:15" x14ac:dyDescent="0.25">
      <c r="A108" s="238"/>
      <c r="B108" s="107" t="s">
        <v>87</v>
      </c>
      <c r="C108" s="108">
        <v>0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  <c r="N108" s="96">
        <v>0</v>
      </c>
      <c r="O108" s="109">
        <v>0</v>
      </c>
    </row>
    <row r="109" spans="1:15" x14ac:dyDescent="0.25">
      <c r="A109" s="238"/>
      <c r="B109" s="107" t="s">
        <v>89</v>
      </c>
      <c r="C109" s="108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109">
        <v>0</v>
      </c>
    </row>
    <row r="110" spans="1:15" x14ac:dyDescent="0.25">
      <c r="A110" s="97" t="s">
        <v>83</v>
      </c>
      <c r="B110" s="97" t="s">
        <v>70</v>
      </c>
      <c r="C110" s="104">
        <v>493.52486124628763</v>
      </c>
      <c r="D110" s="105">
        <v>409.26451908228728</v>
      </c>
      <c r="E110" s="105">
        <v>300.92979344285828</v>
      </c>
      <c r="F110" s="105">
        <v>373.15294386914428</v>
      </c>
      <c r="G110" s="105">
        <v>337.04136865600128</v>
      </c>
      <c r="H110" s="105">
        <v>553.71081993485927</v>
      </c>
      <c r="I110" s="105">
        <v>553.71081993485927</v>
      </c>
      <c r="J110" s="105">
        <v>517.59924472171633</v>
      </c>
      <c r="K110" s="105">
        <v>493.52486124628763</v>
      </c>
      <c r="L110" s="105">
        <v>385.19013560685863</v>
      </c>
      <c r="M110" s="105">
        <v>361.11575213142999</v>
      </c>
      <c r="N110" s="105">
        <v>469.45047777085898</v>
      </c>
      <c r="O110" s="106">
        <v>5248.2155976434487</v>
      </c>
    </row>
    <row r="111" spans="1:15" x14ac:dyDescent="0.25">
      <c r="A111" s="238"/>
      <c r="B111" s="107" t="s">
        <v>25</v>
      </c>
      <c r="C111" s="108">
        <v>73.210182305053934</v>
      </c>
      <c r="D111" s="96">
        <v>60.710882887117862</v>
      </c>
      <c r="E111" s="96">
        <v>44.640355064057246</v>
      </c>
      <c r="F111" s="96">
        <v>55.35404027943099</v>
      </c>
      <c r="G111" s="96">
        <v>49.997197671744118</v>
      </c>
      <c r="H111" s="96">
        <v>82.138253317865406</v>
      </c>
      <c r="I111" s="96">
        <v>82.138253317865406</v>
      </c>
      <c r="J111" s="96">
        <v>76.781410710178591</v>
      </c>
      <c r="K111" s="96">
        <v>73.210182305053934</v>
      </c>
      <c r="L111" s="96">
        <v>57.139654481993318</v>
      </c>
      <c r="M111" s="96">
        <v>53.568426076868775</v>
      </c>
      <c r="N111" s="96">
        <v>69.63895389992939</v>
      </c>
      <c r="O111" s="109">
        <v>778.52779231715908</v>
      </c>
    </row>
    <row r="112" spans="1:15" x14ac:dyDescent="0.25">
      <c r="A112" s="238"/>
      <c r="B112" s="107" t="s">
        <v>26</v>
      </c>
      <c r="C112" s="108">
        <v>2.4673445278921609</v>
      </c>
      <c r="D112" s="96">
        <v>2.0460905841056944</v>
      </c>
      <c r="E112" s="96">
        <v>1.5044783706659517</v>
      </c>
      <c r="F112" s="96">
        <v>1.86555317962578</v>
      </c>
      <c r="G112" s="96">
        <v>1.6850157751458659</v>
      </c>
      <c r="H112" s="96">
        <v>2.7682402020253511</v>
      </c>
      <c r="I112" s="96">
        <v>2.7682402020253511</v>
      </c>
      <c r="J112" s="96">
        <v>2.587702797545437</v>
      </c>
      <c r="K112" s="96">
        <v>2.4673445278921609</v>
      </c>
      <c r="L112" s="96">
        <v>1.9257323144524183</v>
      </c>
      <c r="M112" s="96">
        <v>1.8053740447991422</v>
      </c>
      <c r="N112" s="96">
        <v>2.3469862582388847</v>
      </c>
      <c r="O112" s="109">
        <v>26.238102784414199</v>
      </c>
    </row>
    <row r="113" spans="1:15" x14ac:dyDescent="0.25">
      <c r="A113" s="238"/>
      <c r="B113" s="107" t="s">
        <v>27</v>
      </c>
      <c r="C113" s="108">
        <v>75.6775268329461</v>
      </c>
      <c r="D113" s="96">
        <v>62.756973471223553</v>
      </c>
      <c r="E113" s="96">
        <v>46.144833434723196</v>
      </c>
      <c r="F113" s="96">
        <v>57.219593459056767</v>
      </c>
      <c r="G113" s="96">
        <v>51.682213446889982</v>
      </c>
      <c r="H113" s="96">
        <v>84.906493519890759</v>
      </c>
      <c r="I113" s="96">
        <v>84.906493519890759</v>
      </c>
      <c r="J113" s="96">
        <v>79.369113507724023</v>
      </c>
      <c r="K113" s="96">
        <v>75.6775268329461</v>
      </c>
      <c r="L113" s="96">
        <v>59.065386796445736</v>
      </c>
      <c r="M113" s="96">
        <v>55.373800121667919</v>
      </c>
      <c r="N113" s="96">
        <v>71.985940158168276</v>
      </c>
      <c r="O113" s="109">
        <v>804.76589510157328</v>
      </c>
    </row>
    <row r="114" spans="1:15" x14ac:dyDescent="0.25">
      <c r="A114" s="238"/>
      <c r="B114" s="107" t="s">
        <v>49</v>
      </c>
      <c r="C114" s="108">
        <v>420.31467894123369</v>
      </c>
      <c r="D114" s="96">
        <v>348.55363619516942</v>
      </c>
      <c r="E114" s="96">
        <v>256.28943837880104</v>
      </c>
      <c r="F114" s="96">
        <v>317.79890358971329</v>
      </c>
      <c r="G114" s="96">
        <v>287.04417098425716</v>
      </c>
      <c r="H114" s="96">
        <v>471.57256661699387</v>
      </c>
      <c r="I114" s="96">
        <v>471.57256661699387</v>
      </c>
      <c r="J114" s="96">
        <v>440.81783401153774</v>
      </c>
      <c r="K114" s="96">
        <v>420.31467894123369</v>
      </c>
      <c r="L114" s="96">
        <v>328.05048112486531</v>
      </c>
      <c r="M114" s="96">
        <v>307.54732605456121</v>
      </c>
      <c r="N114" s="96">
        <v>399.81152387092959</v>
      </c>
      <c r="O114" s="109">
        <v>4469.6878053262899</v>
      </c>
    </row>
    <row r="115" spans="1:15" x14ac:dyDescent="0.25">
      <c r="A115" s="238"/>
      <c r="B115" s="107" t="s">
        <v>87</v>
      </c>
      <c r="C115" s="108">
        <v>0</v>
      </c>
      <c r="D115" s="96">
        <v>0</v>
      </c>
      <c r="E115" s="96">
        <v>0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109">
        <v>0</v>
      </c>
    </row>
    <row r="116" spans="1:15" x14ac:dyDescent="0.25">
      <c r="A116" s="238"/>
      <c r="B116" s="107" t="s">
        <v>89</v>
      </c>
      <c r="C116" s="108">
        <v>0</v>
      </c>
      <c r="D116" s="96">
        <v>0</v>
      </c>
      <c r="E116" s="96">
        <v>0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109">
        <v>0</v>
      </c>
    </row>
    <row r="117" spans="1:15" x14ac:dyDescent="0.25">
      <c r="A117" s="97" t="s">
        <v>71</v>
      </c>
      <c r="B117" s="98"/>
      <c r="C117" s="104">
        <v>91482.657206628937</v>
      </c>
      <c r="D117" s="105">
        <v>92325.260628268923</v>
      </c>
      <c r="E117" s="105">
        <v>77892.667734749426</v>
      </c>
      <c r="F117" s="105">
        <v>84356.639697902021</v>
      </c>
      <c r="G117" s="105">
        <v>88015.945986167208</v>
      </c>
      <c r="H117" s="105">
        <v>108840.28769241298</v>
      </c>
      <c r="I117" s="105">
        <v>115677.41259943474</v>
      </c>
      <c r="J117" s="105">
        <v>119192.27258684732</v>
      </c>
      <c r="K117" s="105">
        <v>105193.01859588556</v>
      </c>
      <c r="L117" s="105">
        <v>87305.751673642037</v>
      </c>
      <c r="M117" s="105">
        <v>80601.035875735179</v>
      </c>
      <c r="N117" s="105">
        <v>91290.062138825509</v>
      </c>
      <c r="O117" s="106">
        <v>1142173.0124164999</v>
      </c>
    </row>
    <row r="118" spans="1:15" ht="13" x14ac:dyDescent="0.3">
      <c r="A118" s="97" t="s">
        <v>28</v>
      </c>
      <c r="B118" s="98"/>
      <c r="C118" s="247">
        <v>13570.667939473413</v>
      </c>
      <c r="D118" s="248">
        <v>13695.660933652773</v>
      </c>
      <c r="E118" s="248">
        <v>11554.709504780587</v>
      </c>
      <c r="F118" s="248">
        <v>12513.584331556538</v>
      </c>
      <c r="G118" s="248">
        <v>13056.411049135475</v>
      </c>
      <c r="H118" s="248">
        <v>16145.523619568232</v>
      </c>
      <c r="I118" s="248">
        <v>17159.752486623627</v>
      </c>
      <c r="J118" s="248">
        <v>17681.151833771808</v>
      </c>
      <c r="K118" s="248">
        <v>15604.482516191862</v>
      </c>
      <c r="L118" s="248">
        <v>12951.059811184301</v>
      </c>
      <c r="M118" s="248">
        <v>11956.472700357095</v>
      </c>
      <c r="N118" s="248">
        <v>13542.098112232421</v>
      </c>
      <c r="O118" s="249">
        <v>169431.57483852815</v>
      </c>
    </row>
    <row r="119" spans="1:15" ht="13" x14ac:dyDescent="0.3">
      <c r="A119" s="97" t="s">
        <v>29</v>
      </c>
      <c r="B119" s="98"/>
      <c r="C119" s="247">
        <v>457.3614246824493</v>
      </c>
      <c r="D119" s="248">
        <v>461.57396412031403</v>
      </c>
      <c r="E119" s="248">
        <v>389.41918146317488</v>
      </c>
      <c r="F119" s="248">
        <v>421.73537686507962</v>
      </c>
      <c r="G119" s="248">
        <v>440.02983385237758</v>
      </c>
      <c r="H119" s="248">
        <v>544.13973710246125</v>
      </c>
      <c r="I119" s="248">
        <v>578.32148568399191</v>
      </c>
      <c r="J119" s="248">
        <v>595.89379305337025</v>
      </c>
      <c r="K119" s="248">
        <v>525.90545924999014</v>
      </c>
      <c r="L119" s="248">
        <v>436.4792648976059</v>
      </c>
      <c r="M119" s="248">
        <v>402.95948679916859</v>
      </c>
      <c r="N119" s="248">
        <v>456.39855852522311</v>
      </c>
      <c r="O119" s="249">
        <v>5710.2175662952059</v>
      </c>
    </row>
    <row r="120" spans="1:15" ht="13" x14ac:dyDescent="0.3">
      <c r="A120" s="97" t="s">
        <v>30</v>
      </c>
      <c r="B120" s="98"/>
      <c r="C120" s="247">
        <v>14028.029364155862</v>
      </c>
      <c r="D120" s="248">
        <v>14157.234897773089</v>
      </c>
      <c r="E120" s="248">
        <v>11944.128686243759</v>
      </c>
      <c r="F120" s="248">
        <v>12935.319708421617</v>
      </c>
      <c r="G120" s="248">
        <v>13496.440882987848</v>
      </c>
      <c r="H120" s="248">
        <v>16689.663356670699</v>
      </c>
      <c r="I120" s="248">
        <v>17738.073972307619</v>
      </c>
      <c r="J120" s="248">
        <v>18277.045626825176</v>
      </c>
      <c r="K120" s="248">
        <v>16130.387975441852</v>
      </c>
      <c r="L120" s="248">
        <v>13387.539076081903</v>
      </c>
      <c r="M120" s="248">
        <v>12359.432187156266</v>
      </c>
      <c r="N120" s="248">
        <v>13998.496670757642</v>
      </c>
      <c r="O120" s="249">
        <v>175141.79240482335</v>
      </c>
    </row>
    <row r="121" spans="1:15" x14ac:dyDescent="0.25">
      <c r="A121" s="97" t="s">
        <v>61</v>
      </c>
      <c r="B121" s="98"/>
      <c r="C121" s="104">
        <v>77911.989267155499</v>
      </c>
      <c r="D121" s="105">
        <v>78629.599694616147</v>
      </c>
      <c r="E121" s="105">
        <v>66337.958229968863</v>
      </c>
      <c r="F121" s="105">
        <v>71843.055366345507</v>
      </c>
      <c r="G121" s="105">
        <v>74959.534937031713</v>
      </c>
      <c r="H121" s="105">
        <v>92694.764072844759</v>
      </c>
      <c r="I121" s="105">
        <v>98517.660112811107</v>
      </c>
      <c r="J121" s="105">
        <v>101511.12075307552</v>
      </c>
      <c r="K121" s="105">
        <v>89588.536079693687</v>
      </c>
      <c r="L121" s="105">
        <v>74354.691862457737</v>
      </c>
      <c r="M121" s="105">
        <v>68644.563175378076</v>
      </c>
      <c r="N121" s="105">
        <v>77747.96402659305</v>
      </c>
      <c r="O121" s="106">
        <v>972741.43757797172</v>
      </c>
    </row>
    <row r="122" spans="1:15" x14ac:dyDescent="0.25">
      <c r="A122" s="97" t="s">
        <v>88</v>
      </c>
      <c r="B122" s="98"/>
      <c r="C122" s="104">
        <v>0</v>
      </c>
      <c r="D122" s="105">
        <v>0</v>
      </c>
      <c r="E122" s="105">
        <v>0</v>
      </c>
      <c r="F122" s="105">
        <v>0</v>
      </c>
      <c r="G122" s="105">
        <v>0</v>
      </c>
      <c r="H122" s="105">
        <v>0</v>
      </c>
      <c r="I122" s="105">
        <v>0</v>
      </c>
      <c r="J122" s="105">
        <v>0</v>
      </c>
      <c r="K122" s="105">
        <v>0</v>
      </c>
      <c r="L122" s="105">
        <v>0</v>
      </c>
      <c r="M122" s="105">
        <v>0</v>
      </c>
      <c r="N122" s="105">
        <v>0</v>
      </c>
      <c r="O122" s="106">
        <v>0</v>
      </c>
    </row>
    <row r="123" spans="1:15" x14ac:dyDescent="0.25">
      <c r="A123" s="110" t="s">
        <v>90</v>
      </c>
      <c r="B123" s="239"/>
      <c r="C123" s="111">
        <v>0</v>
      </c>
      <c r="D123" s="112">
        <v>0</v>
      </c>
      <c r="E123" s="112">
        <v>0</v>
      </c>
      <c r="F123" s="112">
        <v>0</v>
      </c>
      <c r="G123" s="112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0</v>
      </c>
      <c r="M123" s="112">
        <v>0</v>
      </c>
      <c r="N123" s="112">
        <v>0</v>
      </c>
      <c r="O123" s="113">
        <v>0</v>
      </c>
    </row>
    <row r="125" spans="1:15" x14ac:dyDescent="0.25">
      <c r="L125" s="242"/>
      <c r="O125" s="242"/>
    </row>
    <row r="126" spans="1:15" x14ac:dyDescent="0.25">
      <c r="L126" s="96"/>
      <c r="O126" s="96"/>
    </row>
  </sheetData>
  <phoneticPr fontId="6" type="noConversion"/>
  <pageMargins left="0.5" right="0.5" top="0.73" bottom="0.98" header="0.5" footer="0.5"/>
  <pageSetup scale="54" fitToHeight="0" orientation="landscape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S220"/>
  <sheetViews>
    <sheetView showGridLines="0" zoomScale="80" zoomScaleNormal="80" zoomScaleSheetLayoutView="100" workbookViewId="0">
      <selection activeCell="I6" sqref="I6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62" customWidth="1"/>
    <col min="5" max="5" width="24.26953125" style="1" customWidth="1"/>
    <col min="6" max="6" width="7.7265625" style="162" customWidth="1"/>
    <col min="7" max="7" width="6.7265625" style="162" customWidth="1"/>
    <col min="8" max="8" width="11.1796875" style="162" bestFit="1" customWidth="1"/>
    <col min="9" max="9" width="11.26953125" style="163" customWidth="1"/>
    <col min="10" max="10" width="14.81640625" style="162" bestFit="1" customWidth="1"/>
    <col min="11" max="11" width="14.81640625" style="164" bestFit="1" customWidth="1"/>
    <col min="12" max="12" width="14.7265625" style="162" customWidth="1"/>
    <col min="13" max="13" width="13.453125" style="125" bestFit="1" customWidth="1"/>
    <col min="14" max="15" width="13.453125" style="125" customWidth="1"/>
    <col min="16" max="16" width="14.81640625" style="125" bestFit="1" customWidth="1"/>
    <col min="17" max="17" width="13.453125" style="125" customWidth="1"/>
    <col min="18" max="18" width="15.54296875" style="237" customWidth="1"/>
    <col min="19" max="16384" width="8.7265625" style="1"/>
  </cols>
  <sheetData>
    <row r="1" spans="2:18" ht="21.5" x14ac:dyDescent="0.3">
      <c r="B1" s="10" t="s">
        <v>98</v>
      </c>
      <c r="C1" s="114"/>
      <c r="D1" s="115"/>
      <c r="E1" s="114"/>
      <c r="F1" s="116" t="s">
        <v>12</v>
      </c>
      <c r="G1" s="117"/>
      <c r="H1" s="118"/>
      <c r="I1" s="119"/>
      <c r="J1" s="120" t="str">
        <f>"True-Up ARR
(CY"&amp;R1&amp;")"</f>
        <v>True-Up ARR
(CY2020)</v>
      </c>
      <c r="K1" s="120" t="str">
        <f>"Projected ARR
(Jan'"&amp;RIGHT(R$1,2)&amp;" - Dec'"&amp;RIGHT(R$1,2)&amp;")"</f>
        <v>Projected ARR
(Jan'20 - Dec'20)</v>
      </c>
      <c r="L1" s="121" t="s">
        <v>45</v>
      </c>
      <c r="M1" s="122"/>
      <c r="N1" s="52"/>
      <c r="O1" s="52"/>
      <c r="P1" s="52"/>
      <c r="Q1" s="52"/>
      <c r="R1" s="123">
        <v>2020</v>
      </c>
    </row>
    <row r="2" spans="2:18" ht="13" x14ac:dyDescent="0.3">
      <c r="B2" s="10" t="s">
        <v>52</v>
      </c>
      <c r="C2" s="114"/>
      <c r="D2" s="115"/>
      <c r="E2" s="114"/>
      <c r="F2" s="124">
        <v>1</v>
      </c>
      <c r="G2" s="251"/>
      <c r="H2" s="251"/>
      <c r="I2" s="126" t="s">
        <v>6</v>
      </c>
      <c r="J2" s="127">
        <v>1142173.0124164999</v>
      </c>
      <c r="K2" s="127">
        <v>1026839.012230969</v>
      </c>
      <c r="L2" s="128"/>
      <c r="M2" s="129"/>
      <c r="N2" s="52"/>
      <c r="O2" s="52"/>
      <c r="P2" s="52"/>
      <c r="Q2" s="52"/>
      <c r="R2" s="1"/>
    </row>
    <row r="3" spans="2:18" ht="13" x14ac:dyDescent="0.3">
      <c r="B3" s="10" t="str">
        <f>"for CY"&amp;R1&amp;" SPP Network Transmission Service"</f>
        <v>for CY2020 SPP Network Transmission Service</v>
      </c>
      <c r="C3" s="114"/>
      <c r="D3" s="115"/>
      <c r="E3" s="114"/>
      <c r="F3" s="124"/>
      <c r="G3" s="251"/>
      <c r="H3" s="251"/>
      <c r="I3" s="126" t="s">
        <v>10</v>
      </c>
      <c r="J3" s="130">
        <v>12.037191737714332</v>
      </c>
      <c r="K3" s="130">
        <v>10.251577535152041</v>
      </c>
      <c r="L3" s="131" t="str">
        <f>"Inv. Jan-Dec'"&amp;RIGHT(R1,2)</f>
        <v>Inv. Jan-Dec'20</v>
      </c>
      <c r="M3" s="129"/>
      <c r="N3" s="52"/>
      <c r="O3" s="52"/>
      <c r="P3" s="52"/>
      <c r="Q3" s="52"/>
      <c r="R3" s="1"/>
    </row>
    <row r="4" spans="2:18" ht="13" x14ac:dyDescent="0.3">
      <c r="B4" s="9"/>
      <c r="C4" s="114"/>
      <c r="D4" s="115"/>
      <c r="E4" s="114"/>
      <c r="F4" s="124"/>
      <c r="G4" s="125"/>
      <c r="H4" s="125"/>
      <c r="I4" s="51"/>
      <c r="J4" s="241"/>
      <c r="K4" s="132"/>
      <c r="L4" s="125"/>
      <c r="M4" s="133"/>
      <c r="R4" s="1"/>
    </row>
    <row r="5" spans="2:18" ht="13" x14ac:dyDescent="0.3">
      <c r="B5" s="9"/>
      <c r="C5" s="114"/>
      <c r="D5" s="115"/>
      <c r="E5" s="114"/>
      <c r="F5" s="124"/>
      <c r="G5" s="125"/>
      <c r="H5" s="125"/>
      <c r="I5" s="126"/>
      <c r="J5" s="241"/>
      <c r="K5" s="127">
        <v>0</v>
      </c>
      <c r="L5" s="128"/>
      <c r="M5" s="134"/>
      <c r="N5" s="135"/>
      <c r="O5" s="135"/>
      <c r="P5" s="135"/>
      <c r="Q5" s="135"/>
      <c r="R5" s="136"/>
    </row>
    <row r="6" spans="2:18" ht="13" x14ac:dyDescent="0.3">
      <c r="B6" s="10" t="s">
        <v>23</v>
      </c>
      <c r="D6" s="115"/>
      <c r="E6" s="114"/>
      <c r="F6" s="137"/>
      <c r="G6" s="138"/>
      <c r="H6" s="139"/>
      <c r="I6" s="140"/>
      <c r="J6" s="141"/>
      <c r="K6" s="130">
        <v>0</v>
      </c>
      <c r="L6" s="240"/>
      <c r="M6" s="134"/>
      <c r="N6" s="135"/>
      <c r="O6" s="135"/>
      <c r="P6" s="135"/>
      <c r="Q6" s="135"/>
      <c r="R6" s="1"/>
    </row>
    <row r="7" spans="2:18" ht="13" x14ac:dyDescent="0.3">
      <c r="B7" s="9" t="s">
        <v>77</v>
      </c>
      <c r="D7" s="115"/>
      <c r="E7" s="114"/>
      <c r="F7" s="124"/>
      <c r="G7" s="252"/>
      <c r="H7" s="251"/>
      <c r="I7" s="126"/>
      <c r="J7" s="142"/>
      <c r="K7" s="128"/>
      <c r="L7" s="128"/>
      <c r="M7" s="143"/>
      <c r="N7" s="144"/>
      <c r="O7" s="144"/>
      <c r="P7" s="144"/>
      <c r="Q7" s="144"/>
      <c r="R7" s="1"/>
    </row>
    <row r="8" spans="2:18" ht="13" x14ac:dyDescent="0.3">
      <c r="B8" s="10"/>
      <c r="C8" s="114"/>
      <c r="D8" s="115"/>
      <c r="E8" s="114"/>
      <c r="F8" s="124"/>
      <c r="G8" s="251"/>
      <c r="H8" s="251"/>
      <c r="I8" s="126"/>
      <c r="J8" s="145"/>
      <c r="K8" s="128"/>
      <c r="L8" s="146"/>
      <c r="M8" s="129"/>
      <c r="N8" s="52"/>
      <c r="O8" s="52"/>
      <c r="P8" s="52"/>
      <c r="Q8" s="52"/>
      <c r="R8" s="136"/>
    </row>
    <row r="9" spans="2:18" ht="13" x14ac:dyDescent="0.3">
      <c r="B9" s="147"/>
      <c r="C9" s="114"/>
      <c r="D9" s="115"/>
      <c r="E9" s="114"/>
      <c r="F9" s="124"/>
      <c r="G9" s="125"/>
      <c r="H9" s="125"/>
      <c r="I9" s="148"/>
      <c r="J9" s="149"/>
      <c r="K9" s="150"/>
      <c r="L9" s="151"/>
      <c r="M9" s="129"/>
      <c r="N9" s="52"/>
      <c r="O9" s="52"/>
      <c r="P9" s="52"/>
      <c r="Q9" s="52"/>
      <c r="R9" s="136"/>
    </row>
    <row r="10" spans="2:18" ht="13.5" thickBot="1" x14ac:dyDescent="0.35">
      <c r="B10" s="9"/>
      <c r="D10" s="1"/>
      <c r="E10" s="152"/>
      <c r="F10" s="153"/>
      <c r="G10" s="154"/>
      <c r="H10" s="155"/>
      <c r="I10" s="156"/>
      <c r="J10" s="157"/>
      <c r="K10" s="157"/>
      <c r="L10" s="158"/>
      <c r="M10" s="159"/>
      <c r="R10" s="160"/>
    </row>
    <row r="11" spans="2:18" ht="13" x14ac:dyDescent="0.3">
      <c r="B11" s="161"/>
      <c r="E11" s="152"/>
      <c r="L11" s="165"/>
      <c r="M11" s="1"/>
      <c r="N11" s="1"/>
      <c r="O11" s="1"/>
      <c r="P11" s="1"/>
      <c r="Q11" s="1"/>
      <c r="R11" s="136"/>
    </row>
    <row r="12" spans="2:18" x14ac:dyDescent="0.25">
      <c r="E12" s="152"/>
      <c r="L12" s="165"/>
      <c r="R12" s="166" t="s">
        <v>60</v>
      </c>
    </row>
    <row r="13" spans="2:18" ht="13" x14ac:dyDescent="0.3">
      <c r="E13" s="152"/>
      <c r="F13" s="167"/>
      <c r="G13" s="168"/>
      <c r="H13" s="168"/>
      <c r="I13" s="169" t="s">
        <v>58</v>
      </c>
      <c r="J13" s="170">
        <f t="shared" ref="J13:R13" si="0">SUM(J56:J211)</f>
        <v>291986.15998173668</v>
      </c>
      <c r="K13" s="170">
        <f t="shared" si="0"/>
        <v>248672.51627018308</v>
      </c>
      <c r="L13" s="171">
        <f t="shared" si="0"/>
        <v>43313.643711553515</v>
      </c>
      <c r="M13" s="172">
        <f t="shared" si="0"/>
        <v>1459.7652734897608</v>
      </c>
      <c r="N13" s="170">
        <f t="shared" si="0"/>
        <v>44773.408985043243</v>
      </c>
      <c r="O13" s="170">
        <f t="shared" si="0"/>
        <v>0</v>
      </c>
      <c r="P13" s="170">
        <f t="shared" si="0"/>
        <v>0</v>
      </c>
      <c r="Q13" s="170">
        <f t="shared" si="0"/>
        <v>0</v>
      </c>
      <c r="R13" s="171">
        <f t="shared" si="0"/>
        <v>44773.408985043243</v>
      </c>
    </row>
    <row r="14" spans="2:18" ht="13" x14ac:dyDescent="0.3">
      <c r="E14" s="152"/>
      <c r="F14" s="173"/>
      <c r="G14" s="173"/>
      <c r="H14" s="173"/>
      <c r="I14" s="174" t="s">
        <v>59</v>
      </c>
      <c r="J14" s="170">
        <f>SUM(J20:J211)</f>
        <v>1142173.0124164985</v>
      </c>
      <c r="K14" s="170">
        <f>SUM(K20:K211)</f>
        <v>972741.43757797149</v>
      </c>
      <c r="L14" s="171">
        <f>SUM(L20:L211)</f>
        <v>169431.57483852809</v>
      </c>
      <c r="M14" s="243">
        <v>5710.2175662952068</v>
      </c>
      <c r="N14" s="170">
        <f>SUM(N20:N211)</f>
        <v>175141.79240482324</v>
      </c>
      <c r="O14" s="170">
        <f>SUM(O20:O211)</f>
        <v>0</v>
      </c>
      <c r="P14" s="170">
        <f>SUM(P20:P211)</f>
        <v>0</v>
      </c>
      <c r="Q14" s="170">
        <f>SUM(Q20:Q211)</f>
        <v>0</v>
      </c>
      <c r="R14" s="171">
        <f>SUM(R20:R211)</f>
        <v>175141.79240482324</v>
      </c>
    </row>
    <row r="15" spans="2:18" x14ac:dyDescent="0.25">
      <c r="B15" s="175" t="s">
        <v>82</v>
      </c>
      <c r="E15" s="152"/>
      <c r="J15" s="163"/>
      <c r="L15" s="165"/>
      <c r="M15" s="176"/>
      <c r="N15" s="176"/>
      <c r="O15" s="176"/>
      <c r="P15" s="176"/>
      <c r="Q15" s="176"/>
      <c r="R15" s="177" t="s">
        <v>20</v>
      </c>
    </row>
    <row r="16" spans="2:18" x14ac:dyDescent="0.25">
      <c r="B16" s="178" t="str">
        <f>"** Actual Trued-Up CY"&amp;R1&amp;" Charge reflects "&amp;R1&amp;" True-UP Rate x MW"</f>
        <v>** Actual Trued-Up CY2020 Charge reflects 2020 True-UP Rate x MW</v>
      </c>
      <c r="E16" s="152"/>
      <c r="F16" s="125"/>
      <c r="G16" s="5"/>
      <c r="J16" s="179"/>
      <c r="L16" s="180" t="s">
        <v>11</v>
      </c>
      <c r="M16" s="176"/>
      <c r="N16" s="176"/>
      <c r="O16" s="176"/>
      <c r="P16" s="176"/>
      <c r="Q16" s="176"/>
      <c r="R16" s="181"/>
    </row>
    <row r="17" spans="1:18" x14ac:dyDescent="0.25">
      <c r="B17" s="182" t="s">
        <v>62</v>
      </c>
      <c r="E17" s="152"/>
      <c r="I17" s="183"/>
      <c r="J17" s="184"/>
      <c r="K17" s="185"/>
      <c r="L17" s="185"/>
      <c r="M17" s="185"/>
      <c r="N17" s="185"/>
      <c r="O17" s="185"/>
      <c r="P17" s="185"/>
      <c r="Q17" s="185"/>
      <c r="R17" s="186"/>
    </row>
    <row r="18" spans="1:18" ht="3.65" customHeight="1" x14ac:dyDescent="0.25">
      <c r="I18" s="187"/>
      <c r="J18" s="184"/>
      <c r="K18" s="187"/>
      <c r="L18" s="187"/>
      <c r="M18" s="188"/>
      <c r="N18" s="188"/>
      <c r="O18" s="188"/>
      <c r="P18" s="188"/>
      <c r="Q18" s="188"/>
      <c r="R18" s="189"/>
    </row>
    <row r="19" spans="1:18" ht="38.25" customHeight="1" x14ac:dyDescent="0.25">
      <c r="B19" s="190" t="s">
        <v>53</v>
      </c>
      <c r="C19" s="191" t="s">
        <v>4</v>
      </c>
      <c r="D19" s="191" t="s">
        <v>5</v>
      </c>
      <c r="E19" s="192" t="s">
        <v>0</v>
      </c>
      <c r="F19" s="193" t="s">
        <v>12</v>
      </c>
      <c r="G19" s="194" t="s">
        <v>1</v>
      </c>
      <c r="H19" s="195" t="s">
        <v>48</v>
      </c>
      <c r="I19" s="195" t="s">
        <v>46</v>
      </c>
      <c r="J19" s="196" t="str">
        <f>"True-Up Charge"</f>
        <v>True-Up Charge</v>
      </c>
      <c r="K19" s="196" t="s">
        <v>47</v>
      </c>
      <c r="L19" s="197" t="s">
        <v>3</v>
      </c>
      <c r="M19" s="198" t="s">
        <v>7</v>
      </c>
      <c r="N19" s="199" t="s">
        <v>99</v>
      </c>
      <c r="O19" s="199" t="s">
        <v>84</v>
      </c>
      <c r="P19" s="199" t="s">
        <v>85</v>
      </c>
      <c r="Q19" s="199" t="s">
        <v>86</v>
      </c>
      <c r="R19" s="200" t="s">
        <v>2</v>
      </c>
    </row>
    <row r="20" spans="1:18" s="52" customFormat="1" ht="12.75" customHeight="1" x14ac:dyDescent="0.25">
      <c r="A20" s="125">
        <v>1</v>
      </c>
      <c r="B20" s="201">
        <f>DATE($R$1,A20,1)</f>
        <v>43831</v>
      </c>
      <c r="C20" s="202">
        <v>43866</v>
      </c>
      <c r="D20" s="202">
        <v>43885</v>
      </c>
      <c r="E20" s="203" t="s">
        <v>21</v>
      </c>
      <c r="F20" s="125">
        <v>9</v>
      </c>
      <c r="G20" s="204">
        <v>2580</v>
      </c>
      <c r="H20" s="205">
        <f>+$K$3</f>
        <v>10.251577535152041</v>
      </c>
      <c r="I20" s="205">
        <f t="shared" ref="I20:I63" si="1">$J$3</f>
        <v>12.037191737714332</v>
      </c>
      <c r="J20" s="206">
        <f t="shared" ref="J20:J108" si="2">+$G20*I20</f>
        <v>31055.954683302978</v>
      </c>
      <c r="K20" s="207">
        <f>+$G20*H20</f>
        <v>26449.070040692266</v>
      </c>
      <c r="L20" s="208">
        <f t="shared" ref="L20:L34" si="3">+J20-K20</f>
        <v>4606.884642610712</v>
      </c>
      <c r="M20" s="209">
        <f>G20/$G$212*$M$14</f>
        <v>155.26216785272624</v>
      </c>
      <c r="N20" s="210">
        <f>SUM(L20:M20)</f>
        <v>4762.1468104634387</v>
      </c>
      <c r="O20" s="209">
        <v>0</v>
      </c>
      <c r="P20" s="209">
        <v>0</v>
      </c>
      <c r="Q20" s="209">
        <v>0</v>
      </c>
      <c r="R20" s="210">
        <f>+N20-Q20</f>
        <v>4762.1468104634387</v>
      </c>
    </row>
    <row r="21" spans="1:18" x14ac:dyDescent="0.25">
      <c r="A21" s="162">
        <v>2</v>
      </c>
      <c r="B21" s="201">
        <f t="shared" ref="B21:B108" si="4">DATE($R$1,A21,1)</f>
        <v>43862</v>
      </c>
      <c r="C21" s="202">
        <v>43894</v>
      </c>
      <c r="D21" s="202">
        <v>43914</v>
      </c>
      <c r="E21" s="211" t="s">
        <v>21</v>
      </c>
      <c r="F21" s="162">
        <v>9</v>
      </c>
      <c r="G21" s="204">
        <v>2548</v>
      </c>
      <c r="H21" s="205">
        <f t="shared" ref="H21:H84" si="5">+$K$3</f>
        <v>10.251577535152041</v>
      </c>
      <c r="I21" s="205">
        <f t="shared" si="1"/>
        <v>12.037191737714332</v>
      </c>
      <c r="J21" s="206">
        <f t="shared" si="2"/>
        <v>30670.764547696119</v>
      </c>
      <c r="K21" s="207">
        <f t="shared" ref="K21:K33" si="6">+$G21*H21</f>
        <v>26121.019559567401</v>
      </c>
      <c r="L21" s="208">
        <f t="shared" si="3"/>
        <v>4549.7449881287175</v>
      </c>
      <c r="M21" s="209">
        <f t="shared" ref="M21:M84" si="7">G21/$G$212*$M$14</f>
        <v>153.3364355382738</v>
      </c>
      <c r="N21" s="210">
        <f t="shared" ref="N21:N84" si="8">SUM(L21:M21)</f>
        <v>4703.0814236669912</v>
      </c>
      <c r="O21" s="209">
        <v>0</v>
      </c>
      <c r="P21" s="209">
        <v>0</v>
      </c>
      <c r="Q21" s="209">
        <v>0</v>
      </c>
      <c r="R21" s="210">
        <f t="shared" ref="R21:R84" si="9">+N21-Q21</f>
        <v>4703.0814236669912</v>
      </c>
    </row>
    <row r="22" spans="1:18" x14ac:dyDescent="0.25">
      <c r="A22" s="162">
        <v>3</v>
      </c>
      <c r="B22" s="201">
        <f t="shared" si="4"/>
        <v>43891</v>
      </c>
      <c r="C22" s="202">
        <v>43924</v>
      </c>
      <c r="D22" s="202">
        <v>43945</v>
      </c>
      <c r="E22" s="211" t="s">
        <v>21</v>
      </c>
      <c r="F22" s="162">
        <v>9</v>
      </c>
      <c r="G22" s="204">
        <v>2505</v>
      </c>
      <c r="H22" s="205">
        <f t="shared" si="5"/>
        <v>10.251577535152041</v>
      </c>
      <c r="I22" s="205">
        <f t="shared" si="1"/>
        <v>12.037191737714332</v>
      </c>
      <c r="J22" s="206">
        <f t="shared" si="2"/>
        <v>30153.165302974401</v>
      </c>
      <c r="K22" s="207">
        <f t="shared" si="6"/>
        <v>25680.201725555864</v>
      </c>
      <c r="L22" s="208">
        <f t="shared" si="3"/>
        <v>4472.9635774185372</v>
      </c>
      <c r="M22" s="209">
        <f t="shared" si="7"/>
        <v>150.74873274072837</v>
      </c>
      <c r="N22" s="210">
        <f t="shared" si="8"/>
        <v>4623.7123101592651</v>
      </c>
      <c r="O22" s="209">
        <v>0</v>
      </c>
      <c r="P22" s="209">
        <v>0</v>
      </c>
      <c r="Q22" s="209">
        <v>0</v>
      </c>
      <c r="R22" s="210">
        <f t="shared" si="9"/>
        <v>4623.7123101592651</v>
      </c>
    </row>
    <row r="23" spans="1:18" x14ac:dyDescent="0.25">
      <c r="A23" s="125">
        <v>4</v>
      </c>
      <c r="B23" s="201">
        <f t="shared" si="4"/>
        <v>43922</v>
      </c>
      <c r="C23" s="202">
        <v>43956</v>
      </c>
      <c r="D23" s="202">
        <v>43976</v>
      </c>
      <c r="E23" s="211" t="s">
        <v>21</v>
      </c>
      <c r="F23" s="162">
        <v>9</v>
      </c>
      <c r="G23" s="204">
        <v>2636</v>
      </c>
      <c r="H23" s="205">
        <f t="shared" si="5"/>
        <v>10.251577535152041</v>
      </c>
      <c r="I23" s="205">
        <f t="shared" si="1"/>
        <v>12.037191737714332</v>
      </c>
      <c r="J23" s="206">
        <f t="shared" si="2"/>
        <v>31730.037420614979</v>
      </c>
      <c r="K23" s="207">
        <f t="shared" si="6"/>
        <v>27023.158382660778</v>
      </c>
      <c r="L23" s="208">
        <f t="shared" si="3"/>
        <v>4706.8790379542006</v>
      </c>
      <c r="M23" s="209">
        <f t="shared" si="7"/>
        <v>158.63219940301798</v>
      </c>
      <c r="N23" s="210">
        <f t="shared" si="8"/>
        <v>4865.5112373572183</v>
      </c>
      <c r="O23" s="209">
        <v>0</v>
      </c>
      <c r="P23" s="209">
        <v>0</v>
      </c>
      <c r="Q23" s="209">
        <v>0</v>
      </c>
      <c r="R23" s="210">
        <f t="shared" si="9"/>
        <v>4865.5112373572183</v>
      </c>
    </row>
    <row r="24" spans="1:18" ht="12" customHeight="1" x14ac:dyDescent="0.25">
      <c r="A24" s="162">
        <v>5</v>
      </c>
      <c r="B24" s="201">
        <f t="shared" si="4"/>
        <v>43952</v>
      </c>
      <c r="C24" s="202">
        <v>43985</v>
      </c>
      <c r="D24" s="202">
        <v>44006</v>
      </c>
      <c r="E24" s="54" t="s">
        <v>21</v>
      </c>
      <c r="F24" s="162">
        <v>9</v>
      </c>
      <c r="G24" s="204">
        <v>2911</v>
      </c>
      <c r="H24" s="205">
        <f t="shared" si="5"/>
        <v>10.251577535152041</v>
      </c>
      <c r="I24" s="205">
        <f t="shared" si="1"/>
        <v>12.037191737714332</v>
      </c>
      <c r="J24" s="206">
        <f t="shared" si="2"/>
        <v>35040.265148486418</v>
      </c>
      <c r="K24" s="207">
        <f t="shared" si="6"/>
        <v>29842.34220482759</v>
      </c>
      <c r="L24" s="208">
        <f t="shared" si="3"/>
        <v>5197.9229436588284</v>
      </c>
      <c r="M24" s="209">
        <f t="shared" si="7"/>
        <v>175.18146148034344</v>
      </c>
      <c r="N24" s="210">
        <f t="shared" si="8"/>
        <v>5373.1044051391718</v>
      </c>
      <c r="O24" s="209">
        <v>0</v>
      </c>
      <c r="P24" s="209">
        <v>0</v>
      </c>
      <c r="Q24" s="209">
        <v>0</v>
      </c>
      <c r="R24" s="210">
        <f t="shared" si="9"/>
        <v>5373.1044051391718</v>
      </c>
    </row>
    <row r="25" spans="1:18" x14ac:dyDescent="0.25">
      <c r="A25" s="162">
        <v>6</v>
      </c>
      <c r="B25" s="201">
        <f t="shared" si="4"/>
        <v>43983</v>
      </c>
      <c r="C25" s="202">
        <v>44015</v>
      </c>
      <c r="D25" s="202">
        <v>44036</v>
      </c>
      <c r="E25" s="54" t="s">
        <v>21</v>
      </c>
      <c r="F25" s="162">
        <v>9</v>
      </c>
      <c r="G25" s="204">
        <v>3504</v>
      </c>
      <c r="H25" s="205">
        <f t="shared" si="5"/>
        <v>10.251577535152041</v>
      </c>
      <c r="I25" s="205">
        <f t="shared" si="1"/>
        <v>12.037191737714332</v>
      </c>
      <c r="J25" s="206">
        <f t="shared" si="2"/>
        <v>42178.319848951018</v>
      </c>
      <c r="K25" s="207">
        <f t="shared" si="6"/>
        <v>35921.527683172753</v>
      </c>
      <c r="L25" s="212">
        <f t="shared" si="3"/>
        <v>6256.7921657782645</v>
      </c>
      <c r="M25" s="209">
        <f t="shared" si="7"/>
        <v>210.86768843253978</v>
      </c>
      <c r="N25" s="210">
        <f t="shared" si="8"/>
        <v>6467.659854210804</v>
      </c>
      <c r="O25" s="209">
        <v>0</v>
      </c>
      <c r="P25" s="209">
        <v>0</v>
      </c>
      <c r="Q25" s="209">
        <v>0</v>
      </c>
      <c r="R25" s="210">
        <f t="shared" si="9"/>
        <v>6467.659854210804</v>
      </c>
    </row>
    <row r="26" spans="1:18" x14ac:dyDescent="0.25">
      <c r="A26" s="125">
        <v>7</v>
      </c>
      <c r="B26" s="201">
        <f t="shared" si="4"/>
        <v>44013</v>
      </c>
      <c r="C26" s="202">
        <v>44048</v>
      </c>
      <c r="D26" s="202">
        <v>44067</v>
      </c>
      <c r="E26" s="54" t="s">
        <v>21</v>
      </c>
      <c r="F26" s="162">
        <v>9</v>
      </c>
      <c r="G26" s="204">
        <v>3724</v>
      </c>
      <c r="H26" s="205">
        <f t="shared" si="5"/>
        <v>10.251577535152041</v>
      </c>
      <c r="I26" s="205">
        <f t="shared" si="1"/>
        <v>12.037191737714332</v>
      </c>
      <c r="J26" s="206">
        <f t="shared" si="2"/>
        <v>44826.502031248172</v>
      </c>
      <c r="K26" s="213">
        <f t="shared" si="6"/>
        <v>38176.874740906198</v>
      </c>
      <c r="L26" s="212">
        <f t="shared" si="3"/>
        <v>6649.627290341974</v>
      </c>
      <c r="M26" s="209">
        <f t="shared" si="7"/>
        <v>224.10709809440016</v>
      </c>
      <c r="N26" s="210">
        <f t="shared" si="8"/>
        <v>6873.7343884363745</v>
      </c>
      <c r="O26" s="209">
        <v>0</v>
      </c>
      <c r="P26" s="209">
        <v>0</v>
      </c>
      <c r="Q26" s="209">
        <v>0</v>
      </c>
      <c r="R26" s="210">
        <f t="shared" si="9"/>
        <v>6873.7343884363745</v>
      </c>
    </row>
    <row r="27" spans="1:18" x14ac:dyDescent="0.25">
      <c r="A27" s="162">
        <v>8</v>
      </c>
      <c r="B27" s="201">
        <f t="shared" si="4"/>
        <v>44044</v>
      </c>
      <c r="C27" s="202">
        <v>44077</v>
      </c>
      <c r="D27" s="202">
        <v>44098</v>
      </c>
      <c r="E27" s="54" t="s">
        <v>21</v>
      </c>
      <c r="F27" s="162">
        <v>9</v>
      </c>
      <c r="G27" s="204">
        <v>3873</v>
      </c>
      <c r="H27" s="205">
        <f t="shared" si="5"/>
        <v>10.251577535152041</v>
      </c>
      <c r="I27" s="205">
        <f t="shared" si="1"/>
        <v>12.037191737714332</v>
      </c>
      <c r="J27" s="206">
        <f t="shared" si="2"/>
        <v>46620.043600167606</v>
      </c>
      <c r="K27" s="213">
        <f t="shared" si="6"/>
        <v>39704.359793643853</v>
      </c>
      <c r="L27" s="212">
        <f t="shared" si="3"/>
        <v>6915.6838065237534</v>
      </c>
      <c r="M27" s="209">
        <f t="shared" si="7"/>
        <v>233.07378918356926</v>
      </c>
      <c r="N27" s="210">
        <f t="shared" si="8"/>
        <v>7148.7575957073223</v>
      </c>
      <c r="O27" s="209">
        <v>0</v>
      </c>
      <c r="P27" s="209">
        <v>0</v>
      </c>
      <c r="Q27" s="209">
        <v>0</v>
      </c>
      <c r="R27" s="210">
        <f t="shared" si="9"/>
        <v>7148.7575957073223</v>
      </c>
    </row>
    <row r="28" spans="1:18" x14ac:dyDescent="0.25">
      <c r="A28" s="162">
        <v>9</v>
      </c>
      <c r="B28" s="201">
        <f t="shared" si="4"/>
        <v>44075</v>
      </c>
      <c r="C28" s="202">
        <v>44109</v>
      </c>
      <c r="D28" s="202">
        <v>44130</v>
      </c>
      <c r="E28" s="54" t="s">
        <v>21</v>
      </c>
      <c r="F28" s="162">
        <v>9</v>
      </c>
      <c r="G28" s="204">
        <v>3349</v>
      </c>
      <c r="H28" s="205">
        <f t="shared" si="5"/>
        <v>10.251577535152041</v>
      </c>
      <c r="I28" s="205">
        <f t="shared" si="1"/>
        <v>12.037191737714332</v>
      </c>
      <c r="J28" s="206">
        <f t="shared" si="2"/>
        <v>40312.555129605302</v>
      </c>
      <c r="K28" s="213">
        <f t="shared" si="6"/>
        <v>34332.533165224188</v>
      </c>
      <c r="L28" s="212">
        <f t="shared" si="3"/>
        <v>5980.0219643811142</v>
      </c>
      <c r="M28" s="209">
        <f t="shared" si="7"/>
        <v>201.53992253441092</v>
      </c>
      <c r="N28" s="210">
        <f t="shared" si="8"/>
        <v>6181.5618869155251</v>
      </c>
      <c r="O28" s="209">
        <v>0</v>
      </c>
      <c r="P28" s="209">
        <v>0</v>
      </c>
      <c r="Q28" s="209">
        <v>0</v>
      </c>
      <c r="R28" s="210">
        <f t="shared" si="9"/>
        <v>6181.5618869155251</v>
      </c>
    </row>
    <row r="29" spans="1:18" x14ac:dyDescent="0.25">
      <c r="A29" s="125">
        <v>10</v>
      </c>
      <c r="B29" s="201">
        <f t="shared" si="4"/>
        <v>44105</v>
      </c>
      <c r="C29" s="202">
        <v>44139</v>
      </c>
      <c r="D29" s="202">
        <v>44159</v>
      </c>
      <c r="E29" s="54" t="s">
        <v>21</v>
      </c>
      <c r="F29" s="162">
        <v>9</v>
      </c>
      <c r="G29" s="204">
        <v>2789</v>
      </c>
      <c r="H29" s="205">
        <f t="shared" si="5"/>
        <v>10.251577535152041</v>
      </c>
      <c r="I29" s="205">
        <f t="shared" si="1"/>
        <v>12.037191737714332</v>
      </c>
      <c r="J29" s="206">
        <f t="shared" si="2"/>
        <v>33571.72775648527</v>
      </c>
      <c r="K29" s="213">
        <f t="shared" si="6"/>
        <v>28591.649745539042</v>
      </c>
      <c r="L29" s="212">
        <f t="shared" si="3"/>
        <v>4980.0780109462285</v>
      </c>
      <c r="M29" s="209">
        <f t="shared" si="7"/>
        <v>167.83960703149359</v>
      </c>
      <c r="N29" s="210">
        <f t="shared" si="8"/>
        <v>5147.9176179777223</v>
      </c>
      <c r="O29" s="209">
        <v>0</v>
      </c>
      <c r="P29" s="209">
        <v>0</v>
      </c>
      <c r="Q29" s="209">
        <v>0</v>
      </c>
      <c r="R29" s="210">
        <f t="shared" si="9"/>
        <v>5147.9176179777223</v>
      </c>
    </row>
    <row r="30" spans="1:18" x14ac:dyDescent="0.25">
      <c r="A30" s="162">
        <v>11</v>
      </c>
      <c r="B30" s="201">
        <f t="shared" si="4"/>
        <v>44136</v>
      </c>
      <c r="C30" s="202">
        <v>44168</v>
      </c>
      <c r="D30" s="202">
        <v>44189</v>
      </c>
      <c r="E30" s="54" t="s">
        <v>21</v>
      </c>
      <c r="F30" s="162">
        <v>9</v>
      </c>
      <c r="G30" s="204">
        <v>2382</v>
      </c>
      <c r="H30" s="205">
        <f t="shared" si="5"/>
        <v>10.251577535152041</v>
      </c>
      <c r="I30" s="205">
        <f t="shared" si="1"/>
        <v>12.037191737714332</v>
      </c>
      <c r="J30" s="206">
        <f t="shared" si="2"/>
        <v>28672.590719235541</v>
      </c>
      <c r="K30" s="213">
        <f t="shared" si="6"/>
        <v>24419.257688732163</v>
      </c>
      <c r="L30" s="212">
        <f t="shared" si="3"/>
        <v>4253.3330305033778</v>
      </c>
      <c r="M30" s="209">
        <f t="shared" si="7"/>
        <v>143.34669915705189</v>
      </c>
      <c r="N30" s="210">
        <f t="shared" si="8"/>
        <v>4396.67972966043</v>
      </c>
      <c r="O30" s="209">
        <v>0</v>
      </c>
      <c r="P30" s="209">
        <v>0</v>
      </c>
      <c r="Q30" s="209">
        <v>0</v>
      </c>
      <c r="R30" s="210">
        <f t="shared" si="9"/>
        <v>4396.67972966043</v>
      </c>
    </row>
    <row r="31" spans="1:18" x14ac:dyDescent="0.25">
      <c r="A31" s="162">
        <v>12</v>
      </c>
      <c r="B31" s="201">
        <f t="shared" si="4"/>
        <v>44166</v>
      </c>
      <c r="C31" s="214">
        <v>44202</v>
      </c>
      <c r="D31" s="215">
        <v>44221</v>
      </c>
      <c r="E31" s="54" t="s">
        <v>21</v>
      </c>
      <c r="F31" s="162">
        <v>9</v>
      </c>
      <c r="G31" s="216">
        <v>2513</v>
      </c>
      <c r="H31" s="217">
        <f t="shared" si="5"/>
        <v>10.251577535152041</v>
      </c>
      <c r="I31" s="217">
        <f t="shared" si="1"/>
        <v>12.037191737714332</v>
      </c>
      <c r="J31" s="218">
        <f t="shared" si="2"/>
        <v>30249.462836876119</v>
      </c>
      <c r="K31" s="219">
        <f t="shared" si="6"/>
        <v>25762.214345837077</v>
      </c>
      <c r="L31" s="220">
        <f t="shared" si="3"/>
        <v>4487.2484910390413</v>
      </c>
      <c r="M31" s="209">
        <f t="shared" si="7"/>
        <v>151.23016581934147</v>
      </c>
      <c r="N31" s="210">
        <f t="shared" si="8"/>
        <v>4638.4786568583831</v>
      </c>
      <c r="O31" s="209">
        <v>0</v>
      </c>
      <c r="P31" s="209">
        <v>0</v>
      </c>
      <c r="Q31" s="209">
        <v>0</v>
      </c>
      <c r="R31" s="210">
        <f t="shared" si="9"/>
        <v>4638.4786568583831</v>
      </c>
    </row>
    <row r="32" spans="1:18" x14ac:dyDescent="0.25">
      <c r="A32" s="125">
        <v>1</v>
      </c>
      <c r="B32" s="221">
        <f t="shared" si="4"/>
        <v>43831</v>
      </c>
      <c r="C32" s="222">
        <f t="shared" ref="C32:D43" si="10">+C20</f>
        <v>43866</v>
      </c>
      <c r="D32" s="222">
        <f t="shared" si="10"/>
        <v>43885</v>
      </c>
      <c r="E32" s="223" t="s">
        <v>22</v>
      </c>
      <c r="F32" s="224">
        <v>9</v>
      </c>
      <c r="G32" s="204">
        <v>2664</v>
      </c>
      <c r="H32" s="205">
        <f t="shared" si="5"/>
        <v>10.251577535152041</v>
      </c>
      <c r="I32" s="205">
        <f t="shared" si="1"/>
        <v>12.037191737714332</v>
      </c>
      <c r="J32" s="206">
        <f t="shared" si="2"/>
        <v>32067.078789270981</v>
      </c>
      <c r="K32" s="207">
        <f t="shared" si="6"/>
        <v>27310.202553645038</v>
      </c>
      <c r="L32" s="208">
        <f t="shared" si="3"/>
        <v>4756.8762356259431</v>
      </c>
      <c r="M32" s="209">
        <f t="shared" si="7"/>
        <v>160.31721517816382</v>
      </c>
      <c r="N32" s="210">
        <f t="shared" si="8"/>
        <v>4917.1934508041068</v>
      </c>
      <c r="O32" s="209">
        <v>0</v>
      </c>
      <c r="P32" s="209">
        <v>0</v>
      </c>
      <c r="Q32" s="209">
        <v>0</v>
      </c>
      <c r="R32" s="210">
        <f t="shared" si="9"/>
        <v>4917.1934508041068</v>
      </c>
    </row>
    <row r="33" spans="1:18" x14ac:dyDescent="0.25">
      <c r="A33" s="162">
        <v>2</v>
      </c>
      <c r="B33" s="201">
        <f t="shared" si="4"/>
        <v>43862</v>
      </c>
      <c r="C33" s="225">
        <f t="shared" si="10"/>
        <v>43894</v>
      </c>
      <c r="D33" s="225">
        <f t="shared" si="10"/>
        <v>43914</v>
      </c>
      <c r="E33" s="211" t="s">
        <v>22</v>
      </c>
      <c r="F33" s="162">
        <v>9</v>
      </c>
      <c r="G33" s="204">
        <v>2798</v>
      </c>
      <c r="H33" s="205">
        <f t="shared" si="5"/>
        <v>10.251577535152041</v>
      </c>
      <c r="I33" s="205">
        <f t="shared" si="1"/>
        <v>12.037191737714332</v>
      </c>
      <c r="J33" s="206">
        <f t="shared" si="2"/>
        <v>33680.062482124704</v>
      </c>
      <c r="K33" s="207">
        <f t="shared" si="6"/>
        <v>28683.913943355412</v>
      </c>
      <c r="L33" s="208">
        <f t="shared" si="3"/>
        <v>4996.1485387692919</v>
      </c>
      <c r="M33" s="209">
        <f t="shared" si="7"/>
        <v>168.38121924493331</v>
      </c>
      <c r="N33" s="210">
        <f t="shared" si="8"/>
        <v>5164.5297580142251</v>
      </c>
      <c r="O33" s="209">
        <v>0</v>
      </c>
      <c r="P33" s="209">
        <v>0</v>
      </c>
      <c r="Q33" s="209">
        <v>0</v>
      </c>
      <c r="R33" s="210">
        <f t="shared" si="9"/>
        <v>5164.5297580142251</v>
      </c>
    </row>
    <row r="34" spans="1:18" x14ac:dyDescent="0.25">
      <c r="A34" s="162">
        <v>3</v>
      </c>
      <c r="B34" s="201">
        <f t="shared" si="4"/>
        <v>43891</v>
      </c>
      <c r="C34" s="225">
        <f t="shared" si="10"/>
        <v>43924</v>
      </c>
      <c r="D34" s="225">
        <f t="shared" si="10"/>
        <v>43945</v>
      </c>
      <c r="E34" s="211" t="s">
        <v>22</v>
      </c>
      <c r="F34" s="162">
        <v>9</v>
      </c>
      <c r="G34" s="204">
        <v>2422</v>
      </c>
      <c r="H34" s="205">
        <f t="shared" si="5"/>
        <v>10.251577535152041</v>
      </c>
      <c r="I34" s="205">
        <f t="shared" si="1"/>
        <v>12.037191737714332</v>
      </c>
      <c r="J34" s="206">
        <f t="shared" si="2"/>
        <v>29154.078388744114</v>
      </c>
      <c r="K34" s="207">
        <f t="shared" ref="K34:K93" si="11">+$G34*H34</f>
        <v>24829.320790138245</v>
      </c>
      <c r="L34" s="208">
        <f t="shared" si="3"/>
        <v>4324.7575986058691</v>
      </c>
      <c r="M34" s="209">
        <f t="shared" si="7"/>
        <v>145.75386455011741</v>
      </c>
      <c r="N34" s="210">
        <f t="shared" si="8"/>
        <v>4470.5114631559863</v>
      </c>
      <c r="O34" s="209">
        <v>0</v>
      </c>
      <c r="P34" s="209">
        <v>0</v>
      </c>
      <c r="Q34" s="209">
        <v>0</v>
      </c>
      <c r="R34" s="210">
        <f t="shared" si="9"/>
        <v>4470.5114631559863</v>
      </c>
    </row>
    <row r="35" spans="1:18" x14ac:dyDescent="0.25">
      <c r="A35" s="125">
        <v>4</v>
      </c>
      <c r="B35" s="201">
        <f t="shared" si="4"/>
        <v>43922</v>
      </c>
      <c r="C35" s="225">
        <f t="shared" si="10"/>
        <v>43956</v>
      </c>
      <c r="D35" s="225">
        <f t="shared" si="10"/>
        <v>43976</v>
      </c>
      <c r="E35" s="211" t="s">
        <v>22</v>
      </c>
      <c r="F35" s="162">
        <v>9</v>
      </c>
      <c r="G35" s="204">
        <v>2569</v>
      </c>
      <c r="H35" s="205">
        <f t="shared" si="5"/>
        <v>10.251577535152041</v>
      </c>
      <c r="I35" s="205">
        <f t="shared" si="1"/>
        <v>12.037191737714332</v>
      </c>
      <c r="J35" s="206">
        <f t="shared" si="2"/>
        <v>30923.54557418812</v>
      </c>
      <c r="K35" s="207">
        <f t="shared" si="11"/>
        <v>26336.302687805593</v>
      </c>
      <c r="L35" s="208">
        <f t="shared" ref="L35:L57" si="12">+J35-K35</f>
        <v>4587.2428863825262</v>
      </c>
      <c r="M35" s="209">
        <f t="shared" si="7"/>
        <v>154.60019736963321</v>
      </c>
      <c r="N35" s="210">
        <f t="shared" si="8"/>
        <v>4741.8430837521591</v>
      </c>
      <c r="O35" s="209">
        <v>0</v>
      </c>
      <c r="P35" s="209">
        <v>0</v>
      </c>
      <c r="Q35" s="209">
        <v>0</v>
      </c>
      <c r="R35" s="210">
        <f t="shared" si="9"/>
        <v>4741.8430837521591</v>
      </c>
    </row>
    <row r="36" spans="1:18" x14ac:dyDescent="0.25">
      <c r="A36" s="162">
        <v>5</v>
      </c>
      <c r="B36" s="201">
        <f t="shared" si="4"/>
        <v>43952</v>
      </c>
      <c r="C36" s="225">
        <f t="shared" si="10"/>
        <v>43985</v>
      </c>
      <c r="D36" s="225">
        <f t="shared" si="10"/>
        <v>44006</v>
      </c>
      <c r="E36" s="54" t="s">
        <v>22</v>
      </c>
      <c r="F36" s="162">
        <v>9</v>
      </c>
      <c r="G36" s="204">
        <v>2598</v>
      </c>
      <c r="H36" s="205">
        <f t="shared" si="5"/>
        <v>10.251577535152041</v>
      </c>
      <c r="I36" s="205">
        <f t="shared" si="1"/>
        <v>12.037191737714332</v>
      </c>
      <c r="J36" s="206">
        <f t="shared" si="2"/>
        <v>31272.624134581834</v>
      </c>
      <c r="K36" s="207">
        <f t="shared" si="11"/>
        <v>26633.598436325003</v>
      </c>
      <c r="L36" s="208">
        <f t="shared" si="12"/>
        <v>4639.0256982568317</v>
      </c>
      <c r="M36" s="209">
        <f t="shared" si="7"/>
        <v>156.3453922796057</v>
      </c>
      <c r="N36" s="210">
        <f t="shared" si="8"/>
        <v>4795.3710905364378</v>
      </c>
      <c r="O36" s="209">
        <v>0</v>
      </c>
      <c r="P36" s="209">
        <v>0</v>
      </c>
      <c r="Q36" s="209">
        <v>0</v>
      </c>
      <c r="R36" s="210">
        <f t="shared" si="9"/>
        <v>4795.3710905364378</v>
      </c>
    </row>
    <row r="37" spans="1:18" x14ac:dyDescent="0.25">
      <c r="A37" s="162">
        <v>6</v>
      </c>
      <c r="B37" s="201">
        <f t="shared" si="4"/>
        <v>43983</v>
      </c>
      <c r="C37" s="225">
        <f t="shared" si="10"/>
        <v>44015</v>
      </c>
      <c r="D37" s="225">
        <f t="shared" si="10"/>
        <v>44036</v>
      </c>
      <c r="E37" s="54" t="s">
        <v>22</v>
      </c>
      <c r="F37" s="162">
        <v>9</v>
      </c>
      <c r="G37" s="204">
        <v>3167</v>
      </c>
      <c r="H37" s="205">
        <f t="shared" si="5"/>
        <v>10.251577535152041</v>
      </c>
      <c r="I37" s="205">
        <f t="shared" si="1"/>
        <v>12.037191737714332</v>
      </c>
      <c r="J37" s="206">
        <f t="shared" si="2"/>
        <v>38121.786233341292</v>
      </c>
      <c r="K37" s="207">
        <f t="shared" si="11"/>
        <v>32466.746053826515</v>
      </c>
      <c r="L37" s="212">
        <f t="shared" si="12"/>
        <v>5655.0401795147773</v>
      </c>
      <c r="M37" s="209">
        <f t="shared" si="7"/>
        <v>190.58731999596279</v>
      </c>
      <c r="N37" s="210">
        <f t="shared" si="8"/>
        <v>5845.6274995107397</v>
      </c>
      <c r="O37" s="209">
        <v>0</v>
      </c>
      <c r="P37" s="209">
        <v>0</v>
      </c>
      <c r="Q37" s="209">
        <v>0</v>
      </c>
      <c r="R37" s="210">
        <f t="shared" si="9"/>
        <v>5845.6274995107397</v>
      </c>
    </row>
    <row r="38" spans="1:18" x14ac:dyDescent="0.25">
      <c r="A38" s="125">
        <v>7</v>
      </c>
      <c r="B38" s="201">
        <f t="shared" si="4"/>
        <v>44013</v>
      </c>
      <c r="C38" s="225">
        <f t="shared" si="10"/>
        <v>44048</v>
      </c>
      <c r="D38" s="225">
        <f t="shared" si="10"/>
        <v>44067</v>
      </c>
      <c r="E38" s="54" t="s">
        <v>22</v>
      </c>
      <c r="F38" s="162">
        <v>9</v>
      </c>
      <c r="G38" s="204">
        <v>3376</v>
      </c>
      <c r="H38" s="205">
        <f t="shared" si="5"/>
        <v>10.251577535152041</v>
      </c>
      <c r="I38" s="205">
        <f t="shared" si="1"/>
        <v>12.037191737714332</v>
      </c>
      <c r="J38" s="206">
        <f t="shared" si="2"/>
        <v>40637.559306523588</v>
      </c>
      <c r="K38" s="213">
        <f t="shared" si="11"/>
        <v>34609.325758673287</v>
      </c>
      <c r="L38" s="212">
        <f t="shared" si="12"/>
        <v>6028.233547850301</v>
      </c>
      <c r="M38" s="209">
        <f t="shared" si="7"/>
        <v>203.16475917473014</v>
      </c>
      <c r="N38" s="210">
        <f t="shared" si="8"/>
        <v>6231.3983070250315</v>
      </c>
      <c r="O38" s="209">
        <v>0</v>
      </c>
      <c r="P38" s="209">
        <v>0</v>
      </c>
      <c r="Q38" s="209">
        <v>0</v>
      </c>
      <c r="R38" s="210">
        <f t="shared" si="9"/>
        <v>6231.3983070250315</v>
      </c>
    </row>
    <row r="39" spans="1:18" x14ac:dyDescent="0.25">
      <c r="A39" s="162">
        <v>8</v>
      </c>
      <c r="B39" s="201">
        <f t="shared" si="4"/>
        <v>44044</v>
      </c>
      <c r="C39" s="225">
        <f t="shared" si="10"/>
        <v>44077</v>
      </c>
      <c r="D39" s="225">
        <f t="shared" si="10"/>
        <v>44098</v>
      </c>
      <c r="E39" s="54" t="s">
        <v>22</v>
      </c>
      <c r="F39" s="162">
        <v>9</v>
      </c>
      <c r="G39" s="204">
        <v>3459</v>
      </c>
      <c r="H39" s="205">
        <f t="shared" si="5"/>
        <v>10.251577535152041</v>
      </c>
      <c r="I39" s="205">
        <f t="shared" si="1"/>
        <v>12.037191737714332</v>
      </c>
      <c r="J39" s="206">
        <f t="shared" si="2"/>
        <v>41636.646220753879</v>
      </c>
      <c r="K39" s="213">
        <f t="shared" si="11"/>
        <v>35460.206694090914</v>
      </c>
      <c r="L39" s="212">
        <f t="shared" si="12"/>
        <v>6176.4395266629654</v>
      </c>
      <c r="M39" s="209">
        <f t="shared" si="7"/>
        <v>208.15962736534109</v>
      </c>
      <c r="N39" s="210">
        <f t="shared" si="8"/>
        <v>6384.5991540283067</v>
      </c>
      <c r="O39" s="209">
        <v>0</v>
      </c>
      <c r="P39" s="209">
        <v>0</v>
      </c>
      <c r="Q39" s="209">
        <v>0</v>
      </c>
      <c r="R39" s="210">
        <f t="shared" si="9"/>
        <v>6384.5991540283067</v>
      </c>
    </row>
    <row r="40" spans="1:18" x14ac:dyDescent="0.25">
      <c r="A40" s="162">
        <v>9</v>
      </c>
      <c r="B40" s="201">
        <f t="shared" si="4"/>
        <v>44075</v>
      </c>
      <c r="C40" s="225">
        <f t="shared" si="10"/>
        <v>44109</v>
      </c>
      <c r="D40" s="225">
        <f t="shared" si="10"/>
        <v>44130</v>
      </c>
      <c r="E40" s="54" t="s">
        <v>22</v>
      </c>
      <c r="F40" s="162">
        <v>9</v>
      </c>
      <c r="G40" s="204">
        <v>3173</v>
      </c>
      <c r="H40" s="205">
        <f t="shared" si="5"/>
        <v>10.251577535152041</v>
      </c>
      <c r="I40" s="205">
        <f t="shared" si="1"/>
        <v>12.037191737714332</v>
      </c>
      <c r="J40" s="206">
        <f t="shared" si="2"/>
        <v>38194.009383767574</v>
      </c>
      <c r="K40" s="213">
        <f t="shared" si="11"/>
        <v>32528.255519037426</v>
      </c>
      <c r="L40" s="212">
        <f t="shared" si="12"/>
        <v>5665.7538647301481</v>
      </c>
      <c r="M40" s="209">
        <f t="shared" si="7"/>
        <v>190.9483948049226</v>
      </c>
      <c r="N40" s="210">
        <f t="shared" si="8"/>
        <v>5856.7022595350709</v>
      </c>
      <c r="O40" s="209">
        <v>0</v>
      </c>
      <c r="P40" s="209">
        <v>0</v>
      </c>
      <c r="Q40" s="209">
        <v>0</v>
      </c>
      <c r="R40" s="210">
        <f t="shared" si="9"/>
        <v>5856.7022595350709</v>
      </c>
    </row>
    <row r="41" spans="1:18" x14ac:dyDescent="0.25">
      <c r="A41" s="125">
        <v>10</v>
      </c>
      <c r="B41" s="201">
        <f t="shared" si="4"/>
        <v>44105</v>
      </c>
      <c r="C41" s="225">
        <f t="shared" si="10"/>
        <v>44139</v>
      </c>
      <c r="D41" s="225">
        <f t="shared" si="10"/>
        <v>44159</v>
      </c>
      <c r="E41" s="54" t="s">
        <v>22</v>
      </c>
      <c r="F41" s="162">
        <v>9</v>
      </c>
      <c r="G41" s="204">
        <v>2561</v>
      </c>
      <c r="H41" s="205">
        <f t="shared" si="5"/>
        <v>10.251577535152041</v>
      </c>
      <c r="I41" s="205">
        <f t="shared" si="1"/>
        <v>12.037191737714332</v>
      </c>
      <c r="J41" s="206">
        <f t="shared" si="2"/>
        <v>30827.248040286406</v>
      </c>
      <c r="K41" s="213">
        <f t="shared" si="11"/>
        <v>26254.290067524376</v>
      </c>
      <c r="L41" s="212">
        <f t="shared" si="12"/>
        <v>4572.9579727620294</v>
      </c>
      <c r="M41" s="209">
        <f t="shared" si="7"/>
        <v>154.11876429102011</v>
      </c>
      <c r="N41" s="210">
        <f t="shared" si="8"/>
        <v>4727.0767370530493</v>
      </c>
      <c r="O41" s="209">
        <v>0</v>
      </c>
      <c r="P41" s="209">
        <v>0</v>
      </c>
      <c r="Q41" s="209">
        <v>0</v>
      </c>
      <c r="R41" s="210">
        <f t="shared" si="9"/>
        <v>4727.0767370530493</v>
      </c>
    </row>
    <row r="42" spans="1:18" x14ac:dyDescent="0.25">
      <c r="A42" s="162">
        <v>11</v>
      </c>
      <c r="B42" s="201">
        <f t="shared" si="4"/>
        <v>44136</v>
      </c>
      <c r="C42" s="225">
        <f t="shared" si="10"/>
        <v>44168</v>
      </c>
      <c r="D42" s="225">
        <f t="shared" si="10"/>
        <v>44189</v>
      </c>
      <c r="E42" s="54" t="s">
        <v>22</v>
      </c>
      <c r="F42" s="162">
        <v>9</v>
      </c>
      <c r="G42" s="204">
        <v>2357</v>
      </c>
      <c r="H42" s="205">
        <f t="shared" si="5"/>
        <v>10.251577535152041</v>
      </c>
      <c r="I42" s="205">
        <f t="shared" si="1"/>
        <v>12.037191737714332</v>
      </c>
      <c r="J42" s="206">
        <f t="shared" si="2"/>
        <v>28371.660925792679</v>
      </c>
      <c r="K42" s="213">
        <f t="shared" si="11"/>
        <v>24162.968250353362</v>
      </c>
      <c r="L42" s="212">
        <f t="shared" si="12"/>
        <v>4208.6926754393171</v>
      </c>
      <c r="M42" s="209">
        <f t="shared" si="7"/>
        <v>141.84222078638595</v>
      </c>
      <c r="N42" s="210">
        <f t="shared" si="8"/>
        <v>4350.5348962257031</v>
      </c>
      <c r="O42" s="209">
        <v>0</v>
      </c>
      <c r="P42" s="209">
        <v>0</v>
      </c>
      <c r="Q42" s="209">
        <v>0</v>
      </c>
      <c r="R42" s="210">
        <f t="shared" si="9"/>
        <v>4350.5348962257031</v>
      </c>
    </row>
    <row r="43" spans="1:18" x14ac:dyDescent="0.25">
      <c r="A43" s="162">
        <v>12</v>
      </c>
      <c r="B43" s="201">
        <f t="shared" si="4"/>
        <v>44166</v>
      </c>
      <c r="C43" s="225">
        <f t="shared" si="10"/>
        <v>44202</v>
      </c>
      <c r="D43" s="225">
        <f t="shared" si="10"/>
        <v>44221</v>
      </c>
      <c r="E43" s="54" t="s">
        <v>22</v>
      </c>
      <c r="F43" s="162">
        <v>9</v>
      </c>
      <c r="G43" s="216">
        <v>2731</v>
      </c>
      <c r="H43" s="217">
        <f t="shared" si="5"/>
        <v>10.251577535152041</v>
      </c>
      <c r="I43" s="217">
        <f t="shared" si="1"/>
        <v>12.037191737714332</v>
      </c>
      <c r="J43" s="218">
        <f t="shared" si="2"/>
        <v>32873.570635697841</v>
      </c>
      <c r="K43" s="219">
        <f t="shared" si="11"/>
        <v>27997.058248500223</v>
      </c>
      <c r="L43" s="220">
        <f t="shared" si="12"/>
        <v>4876.5123871976175</v>
      </c>
      <c r="M43" s="209">
        <f t="shared" si="7"/>
        <v>164.34921721154856</v>
      </c>
      <c r="N43" s="210">
        <f t="shared" si="8"/>
        <v>5040.8616044091659</v>
      </c>
      <c r="O43" s="209">
        <v>0</v>
      </c>
      <c r="P43" s="209">
        <v>0</v>
      </c>
      <c r="Q43" s="209">
        <v>0</v>
      </c>
      <c r="R43" s="210">
        <f t="shared" si="9"/>
        <v>5040.8616044091659</v>
      </c>
    </row>
    <row r="44" spans="1:18" x14ac:dyDescent="0.25">
      <c r="A44" s="125">
        <v>1</v>
      </c>
      <c r="B44" s="221">
        <f t="shared" ref="B44:B55" si="13">DATE($R$1,A44,1)</f>
        <v>43831</v>
      </c>
      <c r="C44" s="222">
        <f t="shared" ref="C44:D55" si="14">+C32</f>
        <v>43866</v>
      </c>
      <c r="D44" s="222">
        <f t="shared" si="14"/>
        <v>43885</v>
      </c>
      <c r="E44" s="223" t="s">
        <v>81</v>
      </c>
      <c r="F44" s="224">
        <v>9</v>
      </c>
      <c r="G44" s="204">
        <v>145</v>
      </c>
      <c r="H44" s="205">
        <f t="shared" si="5"/>
        <v>10.251577535152041</v>
      </c>
      <c r="I44" s="205">
        <f t="shared" si="1"/>
        <v>12.037191737714332</v>
      </c>
      <c r="J44" s="209">
        <f t="shared" ref="J44:J55" si="15">+$G44*I44</f>
        <v>1745.3928019685782</v>
      </c>
      <c r="K44" s="213">
        <f t="shared" ref="K44:K55" si="16">+$G44*H44</f>
        <v>1486.478742597046</v>
      </c>
      <c r="L44" s="212">
        <f t="shared" ref="L44:L55" si="17">+J44-K44</f>
        <v>258.91405937153218</v>
      </c>
      <c r="M44" s="209">
        <f t="shared" si="7"/>
        <v>8.7259745498625207</v>
      </c>
      <c r="N44" s="210">
        <f t="shared" si="8"/>
        <v>267.64003392139472</v>
      </c>
      <c r="O44" s="209">
        <v>0</v>
      </c>
      <c r="P44" s="209">
        <v>0</v>
      </c>
      <c r="Q44" s="209">
        <v>0</v>
      </c>
      <c r="R44" s="210">
        <f t="shared" si="9"/>
        <v>267.64003392139472</v>
      </c>
    </row>
    <row r="45" spans="1:18" x14ac:dyDescent="0.25">
      <c r="A45" s="162">
        <v>2</v>
      </c>
      <c r="B45" s="201">
        <f t="shared" si="13"/>
        <v>43862</v>
      </c>
      <c r="C45" s="225">
        <f t="shared" si="14"/>
        <v>43894</v>
      </c>
      <c r="D45" s="225">
        <f t="shared" si="14"/>
        <v>43914</v>
      </c>
      <c r="E45" s="211" t="s">
        <v>81</v>
      </c>
      <c r="F45" s="162">
        <v>9</v>
      </c>
      <c r="G45" s="204">
        <v>146</v>
      </c>
      <c r="H45" s="205">
        <f t="shared" si="5"/>
        <v>10.251577535152041</v>
      </c>
      <c r="I45" s="205">
        <f t="shared" si="1"/>
        <v>12.037191737714332</v>
      </c>
      <c r="J45" s="209">
        <f t="shared" si="15"/>
        <v>1757.4299937062924</v>
      </c>
      <c r="K45" s="213">
        <f t="shared" si="16"/>
        <v>1496.7303201321979</v>
      </c>
      <c r="L45" s="212">
        <f t="shared" si="17"/>
        <v>260.6996735740945</v>
      </c>
      <c r="M45" s="209">
        <f t="shared" si="7"/>
        <v>8.7861536846891592</v>
      </c>
      <c r="N45" s="210">
        <f t="shared" si="8"/>
        <v>269.48582725878367</v>
      </c>
      <c r="O45" s="209">
        <v>0</v>
      </c>
      <c r="P45" s="209">
        <v>0</v>
      </c>
      <c r="Q45" s="209">
        <v>0</v>
      </c>
      <c r="R45" s="210">
        <f t="shared" si="9"/>
        <v>269.48582725878367</v>
      </c>
    </row>
    <row r="46" spans="1:18" x14ac:dyDescent="0.25">
      <c r="A46" s="162">
        <v>3</v>
      </c>
      <c r="B46" s="201">
        <f t="shared" si="13"/>
        <v>43891</v>
      </c>
      <c r="C46" s="225">
        <f t="shared" si="14"/>
        <v>43924</v>
      </c>
      <c r="D46" s="225">
        <f t="shared" si="14"/>
        <v>43945</v>
      </c>
      <c r="E46" s="211" t="s">
        <v>81</v>
      </c>
      <c r="F46" s="162">
        <v>9</v>
      </c>
      <c r="G46" s="204">
        <v>97</v>
      </c>
      <c r="H46" s="205">
        <f t="shared" si="5"/>
        <v>10.251577535152041</v>
      </c>
      <c r="I46" s="205">
        <f t="shared" si="1"/>
        <v>12.037191737714332</v>
      </c>
      <c r="J46" s="209">
        <f t="shared" si="15"/>
        <v>1167.6075985582902</v>
      </c>
      <c r="K46" s="213">
        <f t="shared" si="16"/>
        <v>994.40302090974797</v>
      </c>
      <c r="L46" s="212">
        <f t="shared" si="17"/>
        <v>173.20457764854223</v>
      </c>
      <c r="M46" s="209">
        <f t="shared" si="7"/>
        <v>5.837376078183893</v>
      </c>
      <c r="N46" s="210">
        <f t="shared" si="8"/>
        <v>179.04195372672612</v>
      </c>
      <c r="O46" s="209">
        <v>0</v>
      </c>
      <c r="P46" s="209">
        <v>0</v>
      </c>
      <c r="Q46" s="209">
        <v>0</v>
      </c>
      <c r="R46" s="210">
        <f t="shared" si="9"/>
        <v>179.04195372672612</v>
      </c>
    </row>
    <row r="47" spans="1:18" x14ac:dyDescent="0.25">
      <c r="A47" s="125">
        <v>4</v>
      </c>
      <c r="B47" s="201">
        <f t="shared" si="13"/>
        <v>43922</v>
      </c>
      <c r="C47" s="225">
        <f t="shared" si="14"/>
        <v>43956</v>
      </c>
      <c r="D47" s="225">
        <f t="shared" si="14"/>
        <v>43976</v>
      </c>
      <c r="E47" s="211" t="s">
        <v>81</v>
      </c>
      <c r="F47" s="162">
        <v>9</v>
      </c>
      <c r="G47" s="204">
        <v>94</v>
      </c>
      <c r="H47" s="205">
        <f t="shared" si="5"/>
        <v>10.251577535152041</v>
      </c>
      <c r="I47" s="205">
        <f t="shared" si="1"/>
        <v>12.037191737714332</v>
      </c>
      <c r="J47" s="209">
        <f t="shared" si="15"/>
        <v>1131.4960233451473</v>
      </c>
      <c r="K47" s="213">
        <f t="shared" si="16"/>
        <v>963.6482883042919</v>
      </c>
      <c r="L47" s="212">
        <f t="shared" si="17"/>
        <v>167.84773504085535</v>
      </c>
      <c r="M47" s="209">
        <f t="shared" si="7"/>
        <v>5.6568386737039793</v>
      </c>
      <c r="N47" s="210">
        <f t="shared" si="8"/>
        <v>173.50457371455934</v>
      </c>
      <c r="O47" s="209">
        <v>0</v>
      </c>
      <c r="P47" s="209">
        <v>0</v>
      </c>
      <c r="Q47" s="209">
        <v>0</v>
      </c>
      <c r="R47" s="210">
        <f t="shared" si="9"/>
        <v>173.50457371455934</v>
      </c>
    </row>
    <row r="48" spans="1:18" x14ac:dyDescent="0.25">
      <c r="A48" s="162">
        <v>5</v>
      </c>
      <c r="B48" s="201">
        <f t="shared" si="13"/>
        <v>43952</v>
      </c>
      <c r="C48" s="225">
        <f t="shared" si="14"/>
        <v>43985</v>
      </c>
      <c r="D48" s="225">
        <f t="shared" si="14"/>
        <v>44006</v>
      </c>
      <c r="E48" s="211" t="s">
        <v>81</v>
      </c>
      <c r="F48" s="162">
        <v>9</v>
      </c>
      <c r="G48" s="204">
        <v>106</v>
      </c>
      <c r="H48" s="205">
        <f t="shared" si="5"/>
        <v>10.251577535152041</v>
      </c>
      <c r="I48" s="205">
        <f t="shared" si="1"/>
        <v>12.037191737714332</v>
      </c>
      <c r="J48" s="209">
        <f t="shared" si="15"/>
        <v>1275.9423241977192</v>
      </c>
      <c r="K48" s="213">
        <f t="shared" si="16"/>
        <v>1086.6672187261163</v>
      </c>
      <c r="L48" s="212">
        <f t="shared" si="17"/>
        <v>189.27510547160296</v>
      </c>
      <c r="M48" s="209">
        <f t="shared" si="7"/>
        <v>6.378988291623636</v>
      </c>
      <c r="N48" s="210">
        <f t="shared" si="8"/>
        <v>195.6540937632266</v>
      </c>
      <c r="O48" s="209">
        <v>0</v>
      </c>
      <c r="P48" s="209">
        <v>0</v>
      </c>
      <c r="Q48" s="209">
        <v>0</v>
      </c>
      <c r="R48" s="210">
        <f t="shared" si="9"/>
        <v>195.6540937632266</v>
      </c>
    </row>
    <row r="49" spans="1:18" x14ac:dyDescent="0.25">
      <c r="A49" s="162">
        <v>6</v>
      </c>
      <c r="B49" s="201">
        <f t="shared" si="13"/>
        <v>43983</v>
      </c>
      <c r="C49" s="225">
        <f t="shared" si="14"/>
        <v>44015</v>
      </c>
      <c r="D49" s="225">
        <f t="shared" si="14"/>
        <v>44036</v>
      </c>
      <c r="E49" s="211" t="s">
        <v>81</v>
      </c>
      <c r="F49" s="162">
        <v>9</v>
      </c>
      <c r="G49" s="204">
        <v>132</v>
      </c>
      <c r="H49" s="205">
        <f t="shared" si="5"/>
        <v>10.251577535152041</v>
      </c>
      <c r="I49" s="205">
        <f t="shared" si="1"/>
        <v>12.037191737714332</v>
      </c>
      <c r="J49" s="209">
        <f t="shared" si="15"/>
        <v>1588.9093093782919</v>
      </c>
      <c r="K49" s="213">
        <f t="shared" si="16"/>
        <v>1353.2082346400693</v>
      </c>
      <c r="L49" s="212">
        <f t="shared" si="17"/>
        <v>235.70107473822259</v>
      </c>
      <c r="M49" s="209">
        <f t="shared" si="7"/>
        <v>7.9436457971162255</v>
      </c>
      <c r="N49" s="210">
        <f t="shared" si="8"/>
        <v>243.64472053533882</v>
      </c>
      <c r="O49" s="209">
        <v>0</v>
      </c>
      <c r="P49" s="209">
        <v>0</v>
      </c>
      <c r="Q49" s="209">
        <v>0</v>
      </c>
      <c r="R49" s="210">
        <f t="shared" si="9"/>
        <v>243.64472053533882</v>
      </c>
    </row>
    <row r="50" spans="1:18" x14ac:dyDescent="0.25">
      <c r="A50" s="125">
        <v>7</v>
      </c>
      <c r="B50" s="201">
        <f t="shared" si="13"/>
        <v>44013</v>
      </c>
      <c r="C50" s="225">
        <f t="shared" si="14"/>
        <v>44048</v>
      </c>
      <c r="D50" s="225">
        <f t="shared" si="14"/>
        <v>44067</v>
      </c>
      <c r="E50" s="211" t="s">
        <v>81</v>
      </c>
      <c r="F50" s="162">
        <v>9</v>
      </c>
      <c r="G50" s="204">
        <v>139</v>
      </c>
      <c r="H50" s="205">
        <f t="shared" si="5"/>
        <v>10.251577535152041</v>
      </c>
      <c r="I50" s="205">
        <f t="shared" si="1"/>
        <v>12.037191737714332</v>
      </c>
      <c r="J50" s="209">
        <f t="shared" si="15"/>
        <v>1673.1696515422923</v>
      </c>
      <c r="K50" s="213">
        <f t="shared" si="16"/>
        <v>1424.9692773861336</v>
      </c>
      <c r="L50" s="212">
        <f t="shared" si="17"/>
        <v>248.20037415615866</v>
      </c>
      <c r="M50" s="209">
        <f t="shared" si="7"/>
        <v>8.3648997409026915</v>
      </c>
      <c r="N50" s="210">
        <f t="shared" si="8"/>
        <v>256.56527389706133</v>
      </c>
      <c r="O50" s="209">
        <v>0</v>
      </c>
      <c r="P50" s="209">
        <v>0</v>
      </c>
      <c r="Q50" s="209">
        <v>0</v>
      </c>
      <c r="R50" s="210">
        <f t="shared" si="9"/>
        <v>256.56527389706133</v>
      </c>
    </row>
    <row r="51" spans="1:18" x14ac:dyDescent="0.25">
      <c r="A51" s="162">
        <v>8</v>
      </c>
      <c r="B51" s="201">
        <f t="shared" si="13"/>
        <v>44044</v>
      </c>
      <c r="C51" s="225">
        <f t="shared" si="14"/>
        <v>44077</v>
      </c>
      <c r="D51" s="225">
        <f t="shared" si="14"/>
        <v>44098</v>
      </c>
      <c r="E51" s="211" t="s">
        <v>81</v>
      </c>
      <c r="F51" s="162">
        <v>9</v>
      </c>
      <c r="G51" s="204">
        <v>136</v>
      </c>
      <c r="H51" s="205">
        <f t="shared" si="5"/>
        <v>10.251577535152041</v>
      </c>
      <c r="I51" s="205">
        <f t="shared" si="1"/>
        <v>12.037191737714332</v>
      </c>
      <c r="J51" s="209">
        <f t="shared" si="15"/>
        <v>1637.0580763291491</v>
      </c>
      <c r="K51" s="213">
        <f t="shared" si="16"/>
        <v>1394.2145447806777</v>
      </c>
      <c r="L51" s="212">
        <f t="shared" si="17"/>
        <v>242.84353154847145</v>
      </c>
      <c r="M51" s="209">
        <f t="shared" si="7"/>
        <v>8.1843623364227778</v>
      </c>
      <c r="N51" s="210">
        <f t="shared" si="8"/>
        <v>251.02789388489421</v>
      </c>
      <c r="O51" s="209">
        <v>0</v>
      </c>
      <c r="P51" s="209">
        <v>0</v>
      </c>
      <c r="Q51" s="209">
        <v>0</v>
      </c>
      <c r="R51" s="210">
        <f t="shared" si="9"/>
        <v>251.02789388489421</v>
      </c>
    </row>
    <row r="52" spans="1:18" x14ac:dyDescent="0.25">
      <c r="A52" s="162">
        <v>9</v>
      </c>
      <c r="B52" s="201">
        <f t="shared" si="13"/>
        <v>44075</v>
      </c>
      <c r="C52" s="225">
        <f t="shared" si="14"/>
        <v>44109</v>
      </c>
      <c r="D52" s="225">
        <f t="shared" si="14"/>
        <v>44130</v>
      </c>
      <c r="E52" s="211" t="s">
        <v>81</v>
      </c>
      <c r="F52" s="162">
        <v>9</v>
      </c>
      <c r="G52" s="204">
        <v>116</v>
      </c>
      <c r="H52" s="205">
        <f t="shared" si="5"/>
        <v>10.251577535152041</v>
      </c>
      <c r="I52" s="205">
        <f t="shared" si="1"/>
        <v>12.037191737714332</v>
      </c>
      <c r="J52" s="209">
        <f t="shared" si="15"/>
        <v>1396.3142415748625</v>
      </c>
      <c r="K52" s="213">
        <f t="shared" si="16"/>
        <v>1189.1829940776367</v>
      </c>
      <c r="L52" s="212">
        <f t="shared" si="17"/>
        <v>207.13124749722579</v>
      </c>
      <c r="M52" s="209">
        <f t="shared" si="7"/>
        <v>6.9807796398900166</v>
      </c>
      <c r="N52" s="210">
        <f t="shared" si="8"/>
        <v>214.1120271371158</v>
      </c>
      <c r="O52" s="209">
        <v>0</v>
      </c>
      <c r="P52" s="209">
        <v>0</v>
      </c>
      <c r="Q52" s="209">
        <v>0</v>
      </c>
      <c r="R52" s="210">
        <f t="shared" si="9"/>
        <v>214.1120271371158</v>
      </c>
    </row>
    <row r="53" spans="1:18" x14ac:dyDescent="0.25">
      <c r="A53" s="125">
        <v>10</v>
      </c>
      <c r="B53" s="201">
        <f t="shared" si="13"/>
        <v>44105</v>
      </c>
      <c r="C53" s="225">
        <f t="shared" si="14"/>
        <v>44139</v>
      </c>
      <c r="D53" s="225">
        <f t="shared" si="14"/>
        <v>44159</v>
      </c>
      <c r="E53" s="211" t="s">
        <v>81</v>
      </c>
      <c r="F53" s="162">
        <v>9</v>
      </c>
      <c r="G53" s="204">
        <v>78</v>
      </c>
      <c r="H53" s="205">
        <f t="shared" si="5"/>
        <v>10.251577535152041</v>
      </c>
      <c r="I53" s="205">
        <f t="shared" si="1"/>
        <v>12.037191737714332</v>
      </c>
      <c r="J53" s="209">
        <f t="shared" si="15"/>
        <v>938.90095554171796</v>
      </c>
      <c r="K53" s="213">
        <f t="shared" si="16"/>
        <v>799.62304774185918</v>
      </c>
      <c r="L53" s="212">
        <f t="shared" si="17"/>
        <v>139.27790779985878</v>
      </c>
      <c r="M53" s="209">
        <f t="shared" si="7"/>
        <v>4.6939725164777695</v>
      </c>
      <c r="N53" s="210">
        <f t="shared" si="8"/>
        <v>143.97188031633655</v>
      </c>
      <c r="O53" s="209">
        <v>0</v>
      </c>
      <c r="P53" s="209">
        <v>0</v>
      </c>
      <c r="Q53" s="209">
        <v>0</v>
      </c>
      <c r="R53" s="210">
        <f t="shared" si="9"/>
        <v>143.97188031633655</v>
      </c>
    </row>
    <row r="54" spans="1:18" x14ac:dyDescent="0.25">
      <c r="A54" s="162">
        <v>11</v>
      </c>
      <c r="B54" s="201">
        <f t="shared" si="13"/>
        <v>44136</v>
      </c>
      <c r="C54" s="225">
        <f t="shared" si="14"/>
        <v>44168</v>
      </c>
      <c r="D54" s="225">
        <f t="shared" si="14"/>
        <v>44189</v>
      </c>
      <c r="E54" s="211" t="s">
        <v>81</v>
      </c>
      <c r="F54" s="162">
        <v>9</v>
      </c>
      <c r="G54" s="204">
        <v>109</v>
      </c>
      <c r="H54" s="205">
        <f t="shared" si="5"/>
        <v>10.251577535152041</v>
      </c>
      <c r="I54" s="205">
        <f t="shared" si="1"/>
        <v>12.037191737714332</v>
      </c>
      <c r="J54" s="209">
        <f t="shared" si="15"/>
        <v>1312.0538994108622</v>
      </c>
      <c r="K54" s="213">
        <f t="shared" si="16"/>
        <v>1117.4219513315725</v>
      </c>
      <c r="L54" s="212">
        <f t="shared" si="17"/>
        <v>194.63194807928971</v>
      </c>
      <c r="M54" s="209">
        <f t="shared" si="7"/>
        <v>6.5595256961035497</v>
      </c>
      <c r="N54" s="210">
        <f t="shared" si="8"/>
        <v>201.19147377539326</v>
      </c>
      <c r="O54" s="209">
        <v>0</v>
      </c>
      <c r="P54" s="209">
        <v>0</v>
      </c>
      <c r="Q54" s="209">
        <v>0</v>
      </c>
      <c r="R54" s="210">
        <f t="shared" si="9"/>
        <v>201.19147377539326</v>
      </c>
    </row>
    <row r="55" spans="1:18" x14ac:dyDescent="0.25">
      <c r="A55" s="162">
        <v>12</v>
      </c>
      <c r="B55" s="201">
        <f t="shared" si="13"/>
        <v>44166</v>
      </c>
      <c r="C55" s="225">
        <f t="shared" si="14"/>
        <v>44202</v>
      </c>
      <c r="D55" s="225">
        <f t="shared" si="14"/>
        <v>44221</v>
      </c>
      <c r="E55" s="211" t="s">
        <v>81</v>
      </c>
      <c r="F55" s="162">
        <v>9</v>
      </c>
      <c r="G55" s="216">
        <v>143</v>
      </c>
      <c r="H55" s="217">
        <f t="shared" si="5"/>
        <v>10.251577535152041</v>
      </c>
      <c r="I55" s="217">
        <f t="shared" si="1"/>
        <v>12.037191737714332</v>
      </c>
      <c r="J55" s="218">
        <f t="shared" si="15"/>
        <v>1721.3184184931495</v>
      </c>
      <c r="K55" s="219">
        <f t="shared" si="16"/>
        <v>1465.9755875267419</v>
      </c>
      <c r="L55" s="220">
        <f t="shared" si="17"/>
        <v>255.34283096640752</v>
      </c>
      <c r="M55" s="209">
        <f t="shared" si="7"/>
        <v>8.6056162802092437</v>
      </c>
      <c r="N55" s="210">
        <f t="shared" si="8"/>
        <v>263.94844724661675</v>
      </c>
      <c r="O55" s="209">
        <v>0</v>
      </c>
      <c r="P55" s="209">
        <v>0</v>
      </c>
      <c r="Q55" s="209">
        <v>0</v>
      </c>
      <c r="R55" s="210">
        <f t="shared" si="9"/>
        <v>263.94844724661675</v>
      </c>
    </row>
    <row r="56" spans="1:18" s="226" customFormat="1" x14ac:dyDescent="0.25">
      <c r="A56" s="125">
        <v>1</v>
      </c>
      <c r="B56" s="221">
        <f t="shared" si="4"/>
        <v>43831</v>
      </c>
      <c r="C56" s="222">
        <f t="shared" ref="C56:D67" si="18">+C32</f>
        <v>43866</v>
      </c>
      <c r="D56" s="222">
        <f t="shared" si="18"/>
        <v>43885</v>
      </c>
      <c r="E56" s="223" t="s">
        <v>14</v>
      </c>
      <c r="F56" s="224">
        <v>9</v>
      </c>
      <c r="G56" s="204">
        <v>753</v>
      </c>
      <c r="H56" s="205">
        <f t="shared" si="5"/>
        <v>10.251577535152041</v>
      </c>
      <c r="I56" s="205">
        <f t="shared" si="1"/>
        <v>12.037191737714332</v>
      </c>
      <c r="J56" s="206">
        <f t="shared" si="2"/>
        <v>9064.0053784988922</v>
      </c>
      <c r="K56" s="207">
        <f t="shared" si="11"/>
        <v>7719.4378839694873</v>
      </c>
      <c r="L56" s="208">
        <f t="shared" si="12"/>
        <v>1344.5674945294049</v>
      </c>
      <c r="M56" s="209">
        <f t="shared" si="7"/>
        <v>45.314888524458468</v>
      </c>
      <c r="N56" s="210">
        <f t="shared" si="8"/>
        <v>1389.8823830538634</v>
      </c>
      <c r="O56" s="209">
        <v>0</v>
      </c>
      <c r="P56" s="209">
        <v>0</v>
      </c>
      <c r="Q56" s="209">
        <v>0</v>
      </c>
      <c r="R56" s="210">
        <f t="shared" si="9"/>
        <v>1389.8823830538634</v>
      </c>
    </row>
    <row r="57" spans="1:18" x14ac:dyDescent="0.25">
      <c r="A57" s="162">
        <v>2</v>
      </c>
      <c r="B57" s="201">
        <f t="shared" si="4"/>
        <v>43862</v>
      </c>
      <c r="C57" s="225">
        <f t="shared" si="18"/>
        <v>43894</v>
      </c>
      <c r="D57" s="225">
        <f t="shared" si="18"/>
        <v>43914</v>
      </c>
      <c r="E57" s="211" t="s">
        <v>14</v>
      </c>
      <c r="F57" s="162">
        <v>9</v>
      </c>
      <c r="G57" s="204">
        <v>715</v>
      </c>
      <c r="H57" s="205">
        <f t="shared" si="5"/>
        <v>10.251577535152041</v>
      </c>
      <c r="I57" s="205">
        <f t="shared" si="1"/>
        <v>12.037191737714332</v>
      </c>
      <c r="J57" s="206">
        <f t="shared" si="2"/>
        <v>8606.5920924657476</v>
      </c>
      <c r="K57" s="207">
        <f t="shared" si="11"/>
        <v>7329.8779376337097</v>
      </c>
      <c r="L57" s="208">
        <f t="shared" si="12"/>
        <v>1276.7141548320378</v>
      </c>
      <c r="M57" s="209">
        <f t="shared" si="7"/>
        <v>43.028081401046222</v>
      </c>
      <c r="N57" s="210">
        <f t="shared" si="8"/>
        <v>1319.742236233084</v>
      </c>
      <c r="O57" s="209">
        <v>0</v>
      </c>
      <c r="P57" s="209">
        <v>0</v>
      </c>
      <c r="Q57" s="209">
        <v>0</v>
      </c>
      <c r="R57" s="210">
        <f t="shared" si="9"/>
        <v>1319.742236233084</v>
      </c>
    </row>
    <row r="58" spans="1:18" x14ac:dyDescent="0.25">
      <c r="A58" s="162">
        <v>3</v>
      </c>
      <c r="B58" s="201">
        <f t="shared" si="4"/>
        <v>43891</v>
      </c>
      <c r="C58" s="225">
        <f t="shared" si="18"/>
        <v>43924</v>
      </c>
      <c r="D58" s="225">
        <f t="shared" si="18"/>
        <v>43945</v>
      </c>
      <c r="E58" s="211" t="s">
        <v>14</v>
      </c>
      <c r="F58" s="162">
        <v>9</v>
      </c>
      <c r="G58" s="204">
        <v>510</v>
      </c>
      <c r="H58" s="205">
        <f t="shared" si="5"/>
        <v>10.251577535152041</v>
      </c>
      <c r="I58" s="205">
        <f t="shared" si="1"/>
        <v>12.037191737714332</v>
      </c>
      <c r="J58" s="206">
        <f t="shared" si="2"/>
        <v>6138.9677862343096</v>
      </c>
      <c r="K58" s="207">
        <f t="shared" si="11"/>
        <v>5228.3045429275408</v>
      </c>
      <c r="L58" s="208">
        <f>+J58-K58</f>
        <v>910.66324330676889</v>
      </c>
      <c r="M58" s="209">
        <f t="shared" si="7"/>
        <v>30.691358761585416</v>
      </c>
      <c r="N58" s="210">
        <f t="shared" si="8"/>
        <v>941.35460206835432</v>
      </c>
      <c r="O58" s="209">
        <v>0</v>
      </c>
      <c r="P58" s="209">
        <v>0</v>
      </c>
      <c r="Q58" s="209">
        <v>0</v>
      </c>
      <c r="R58" s="210">
        <f t="shared" si="9"/>
        <v>941.35460206835432</v>
      </c>
    </row>
    <row r="59" spans="1:18" x14ac:dyDescent="0.25">
      <c r="A59" s="125">
        <v>4</v>
      </c>
      <c r="B59" s="201">
        <f t="shared" si="4"/>
        <v>43922</v>
      </c>
      <c r="C59" s="225">
        <f t="shared" si="18"/>
        <v>43956</v>
      </c>
      <c r="D59" s="225">
        <f t="shared" si="18"/>
        <v>43976</v>
      </c>
      <c r="E59" s="211" t="s">
        <v>14</v>
      </c>
      <c r="F59" s="162">
        <v>9</v>
      </c>
      <c r="G59" s="204">
        <v>615</v>
      </c>
      <c r="H59" s="205">
        <f t="shared" si="5"/>
        <v>10.251577535152041</v>
      </c>
      <c r="I59" s="205">
        <f t="shared" si="1"/>
        <v>12.037191737714332</v>
      </c>
      <c r="J59" s="206">
        <f t="shared" si="2"/>
        <v>7402.8729186943146</v>
      </c>
      <c r="K59" s="207">
        <f t="shared" si="11"/>
        <v>6304.7201841185051</v>
      </c>
      <c r="L59" s="208">
        <f t="shared" ref="L59:L81" si="19">+J59-K59</f>
        <v>1098.1527345758095</v>
      </c>
      <c r="M59" s="209">
        <f t="shared" si="7"/>
        <v>37.010167918382415</v>
      </c>
      <c r="N59" s="210">
        <f t="shared" si="8"/>
        <v>1135.1629024941919</v>
      </c>
      <c r="O59" s="209">
        <v>0</v>
      </c>
      <c r="P59" s="209">
        <v>0</v>
      </c>
      <c r="Q59" s="209">
        <v>0</v>
      </c>
      <c r="R59" s="210">
        <f t="shared" si="9"/>
        <v>1135.1629024941919</v>
      </c>
    </row>
    <row r="60" spans="1:18" x14ac:dyDescent="0.25">
      <c r="A60" s="162">
        <v>5</v>
      </c>
      <c r="B60" s="201">
        <f t="shared" si="4"/>
        <v>43952</v>
      </c>
      <c r="C60" s="225">
        <f t="shared" si="18"/>
        <v>43985</v>
      </c>
      <c r="D60" s="225">
        <f t="shared" si="18"/>
        <v>44006</v>
      </c>
      <c r="E60" s="54" t="s">
        <v>14</v>
      </c>
      <c r="F60" s="162">
        <v>9</v>
      </c>
      <c r="G60" s="204">
        <v>551</v>
      </c>
      <c r="H60" s="205">
        <f t="shared" si="5"/>
        <v>10.251577535152041</v>
      </c>
      <c r="I60" s="205">
        <f t="shared" si="1"/>
        <v>12.037191737714332</v>
      </c>
      <c r="J60" s="206">
        <f t="shared" si="2"/>
        <v>6632.492647480597</v>
      </c>
      <c r="K60" s="207">
        <f t="shared" si="11"/>
        <v>5648.6192218687747</v>
      </c>
      <c r="L60" s="208">
        <f t="shared" si="19"/>
        <v>983.87342561182231</v>
      </c>
      <c r="M60" s="209">
        <f t="shared" si="7"/>
        <v>33.158703289477579</v>
      </c>
      <c r="N60" s="210">
        <f t="shared" si="8"/>
        <v>1017.0321289012999</v>
      </c>
      <c r="O60" s="209">
        <v>0</v>
      </c>
      <c r="P60" s="209">
        <v>0</v>
      </c>
      <c r="Q60" s="209">
        <v>0</v>
      </c>
      <c r="R60" s="210">
        <f t="shared" si="9"/>
        <v>1017.0321289012999</v>
      </c>
    </row>
    <row r="61" spans="1:18" x14ac:dyDescent="0.25">
      <c r="A61" s="162">
        <v>6</v>
      </c>
      <c r="B61" s="201">
        <f t="shared" si="4"/>
        <v>43983</v>
      </c>
      <c r="C61" s="225">
        <f t="shared" si="18"/>
        <v>44015</v>
      </c>
      <c r="D61" s="225">
        <f t="shared" si="18"/>
        <v>44036</v>
      </c>
      <c r="E61" s="54" t="s">
        <v>14</v>
      </c>
      <c r="F61" s="162">
        <v>9</v>
      </c>
      <c r="G61" s="204">
        <v>815</v>
      </c>
      <c r="H61" s="205">
        <f t="shared" si="5"/>
        <v>10.251577535152041</v>
      </c>
      <c r="I61" s="205">
        <f t="shared" si="1"/>
        <v>12.037191737714332</v>
      </c>
      <c r="J61" s="206">
        <f t="shared" si="2"/>
        <v>9810.3112662371805</v>
      </c>
      <c r="K61" s="207">
        <f t="shared" si="11"/>
        <v>8355.0356911489143</v>
      </c>
      <c r="L61" s="212">
        <f t="shared" si="19"/>
        <v>1455.2755750882661</v>
      </c>
      <c r="M61" s="209">
        <f t="shared" si="7"/>
        <v>49.045994883710023</v>
      </c>
      <c r="N61" s="210">
        <f t="shared" si="8"/>
        <v>1504.3215699719763</v>
      </c>
      <c r="O61" s="209">
        <v>0</v>
      </c>
      <c r="P61" s="209">
        <v>0</v>
      </c>
      <c r="Q61" s="209">
        <v>0</v>
      </c>
      <c r="R61" s="210">
        <f t="shared" si="9"/>
        <v>1504.3215699719763</v>
      </c>
    </row>
    <row r="62" spans="1:18" x14ac:dyDescent="0.25">
      <c r="A62" s="125">
        <v>7</v>
      </c>
      <c r="B62" s="201">
        <f t="shared" si="4"/>
        <v>44013</v>
      </c>
      <c r="C62" s="225">
        <f t="shared" si="18"/>
        <v>44048</v>
      </c>
      <c r="D62" s="225">
        <f t="shared" si="18"/>
        <v>44067</v>
      </c>
      <c r="E62" s="54" t="s">
        <v>14</v>
      </c>
      <c r="F62" s="162">
        <v>9</v>
      </c>
      <c r="G62" s="204">
        <v>816</v>
      </c>
      <c r="H62" s="205">
        <f t="shared" si="5"/>
        <v>10.251577535152041</v>
      </c>
      <c r="I62" s="205">
        <f t="shared" si="1"/>
        <v>12.037191737714332</v>
      </c>
      <c r="J62" s="206">
        <f t="shared" si="2"/>
        <v>9822.3484579748947</v>
      </c>
      <c r="K62" s="213">
        <f t="shared" si="11"/>
        <v>8365.2872686840656</v>
      </c>
      <c r="L62" s="212">
        <f t="shared" si="19"/>
        <v>1457.0611892908291</v>
      </c>
      <c r="M62" s="209">
        <f t="shared" si="7"/>
        <v>49.10617401853667</v>
      </c>
      <c r="N62" s="210">
        <f t="shared" si="8"/>
        <v>1506.1673633093658</v>
      </c>
      <c r="O62" s="209">
        <v>0</v>
      </c>
      <c r="P62" s="209">
        <v>0</v>
      </c>
      <c r="Q62" s="209">
        <v>0</v>
      </c>
      <c r="R62" s="210">
        <f t="shared" si="9"/>
        <v>1506.1673633093658</v>
      </c>
    </row>
    <row r="63" spans="1:18" x14ac:dyDescent="0.25">
      <c r="A63" s="162">
        <v>8</v>
      </c>
      <c r="B63" s="201">
        <f t="shared" si="4"/>
        <v>44044</v>
      </c>
      <c r="C63" s="225">
        <f t="shared" si="18"/>
        <v>44077</v>
      </c>
      <c r="D63" s="225">
        <f t="shared" si="18"/>
        <v>44098</v>
      </c>
      <c r="E63" s="54" t="s">
        <v>14</v>
      </c>
      <c r="F63" s="162">
        <v>9</v>
      </c>
      <c r="G63" s="204">
        <v>889</v>
      </c>
      <c r="H63" s="205">
        <f t="shared" si="5"/>
        <v>10.251577535152041</v>
      </c>
      <c r="I63" s="205">
        <f t="shared" si="1"/>
        <v>12.037191737714332</v>
      </c>
      <c r="J63" s="206">
        <f t="shared" si="2"/>
        <v>10701.063454828041</v>
      </c>
      <c r="K63" s="213">
        <f t="shared" si="11"/>
        <v>9113.6524287501652</v>
      </c>
      <c r="L63" s="212">
        <f t="shared" si="19"/>
        <v>1587.4110260778762</v>
      </c>
      <c r="M63" s="209">
        <f t="shared" si="7"/>
        <v>53.499250860881247</v>
      </c>
      <c r="N63" s="210">
        <f t="shared" si="8"/>
        <v>1640.9102769387573</v>
      </c>
      <c r="O63" s="209">
        <v>0</v>
      </c>
      <c r="P63" s="209">
        <v>0</v>
      </c>
      <c r="Q63" s="209">
        <v>0</v>
      </c>
      <c r="R63" s="210">
        <f t="shared" si="9"/>
        <v>1640.9102769387573</v>
      </c>
    </row>
    <row r="64" spans="1:18" x14ac:dyDescent="0.25">
      <c r="A64" s="162">
        <v>9</v>
      </c>
      <c r="B64" s="201">
        <f t="shared" si="4"/>
        <v>44075</v>
      </c>
      <c r="C64" s="225">
        <f t="shared" si="18"/>
        <v>44109</v>
      </c>
      <c r="D64" s="225">
        <f t="shared" si="18"/>
        <v>44130</v>
      </c>
      <c r="E64" s="54" t="s">
        <v>14</v>
      </c>
      <c r="F64" s="162">
        <v>9</v>
      </c>
      <c r="G64" s="204">
        <v>768</v>
      </c>
      <c r="H64" s="205">
        <f t="shared" si="5"/>
        <v>10.251577535152041</v>
      </c>
      <c r="I64" s="205">
        <f t="shared" ref="I64:I107" si="20">$J$3</f>
        <v>12.037191737714332</v>
      </c>
      <c r="J64" s="206">
        <f t="shared" si="2"/>
        <v>9244.5632545646076</v>
      </c>
      <c r="K64" s="213">
        <f t="shared" si="11"/>
        <v>7873.2115469967675</v>
      </c>
      <c r="L64" s="212">
        <f t="shared" si="19"/>
        <v>1371.3517075678401</v>
      </c>
      <c r="M64" s="209">
        <f t="shared" si="7"/>
        <v>46.217575546858036</v>
      </c>
      <c r="N64" s="210">
        <f t="shared" si="8"/>
        <v>1417.5692831146982</v>
      </c>
      <c r="O64" s="209">
        <v>0</v>
      </c>
      <c r="P64" s="209">
        <v>0</v>
      </c>
      <c r="Q64" s="209">
        <v>0</v>
      </c>
      <c r="R64" s="210">
        <f t="shared" si="9"/>
        <v>1417.5692831146982</v>
      </c>
    </row>
    <row r="65" spans="1:18" x14ac:dyDescent="0.25">
      <c r="A65" s="125">
        <v>10</v>
      </c>
      <c r="B65" s="201">
        <f t="shared" si="4"/>
        <v>44105</v>
      </c>
      <c r="C65" s="225">
        <f t="shared" si="18"/>
        <v>44139</v>
      </c>
      <c r="D65" s="225">
        <f t="shared" si="18"/>
        <v>44159</v>
      </c>
      <c r="E65" s="54" t="s">
        <v>14</v>
      </c>
      <c r="F65" s="162">
        <v>9</v>
      </c>
      <c r="G65" s="204">
        <v>633</v>
      </c>
      <c r="H65" s="205">
        <f t="shared" si="5"/>
        <v>10.251577535152041</v>
      </c>
      <c r="I65" s="205">
        <f t="shared" si="20"/>
        <v>12.037191737714332</v>
      </c>
      <c r="J65" s="206">
        <f t="shared" si="2"/>
        <v>7619.5423699731728</v>
      </c>
      <c r="K65" s="213">
        <f t="shared" si="11"/>
        <v>6489.2485797512418</v>
      </c>
      <c r="L65" s="212">
        <f t="shared" si="19"/>
        <v>1130.293790221931</v>
      </c>
      <c r="M65" s="209">
        <f t="shared" si="7"/>
        <v>38.093392345261897</v>
      </c>
      <c r="N65" s="210">
        <f t="shared" si="8"/>
        <v>1168.3871825671929</v>
      </c>
      <c r="O65" s="209">
        <v>0</v>
      </c>
      <c r="P65" s="209">
        <v>0</v>
      </c>
      <c r="Q65" s="209">
        <v>0</v>
      </c>
      <c r="R65" s="210">
        <f t="shared" si="9"/>
        <v>1168.3871825671929</v>
      </c>
    </row>
    <row r="66" spans="1:18" x14ac:dyDescent="0.25">
      <c r="A66" s="162">
        <v>11</v>
      </c>
      <c r="B66" s="201">
        <f t="shared" si="4"/>
        <v>44136</v>
      </c>
      <c r="C66" s="225">
        <f t="shared" si="18"/>
        <v>44168</v>
      </c>
      <c r="D66" s="225">
        <f t="shared" si="18"/>
        <v>44189</v>
      </c>
      <c r="E66" s="54" t="s">
        <v>14</v>
      </c>
      <c r="F66" s="162">
        <v>9</v>
      </c>
      <c r="G66" s="204">
        <v>639</v>
      </c>
      <c r="H66" s="205">
        <f t="shared" si="5"/>
        <v>10.251577535152041</v>
      </c>
      <c r="I66" s="205">
        <f t="shared" si="20"/>
        <v>12.037191737714332</v>
      </c>
      <c r="J66" s="206">
        <f t="shared" si="2"/>
        <v>7691.7655203994582</v>
      </c>
      <c r="K66" s="213">
        <f t="shared" si="11"/>
        <v>6550.7580449621546</v>
      </c>
      <c r="L66" s="212">
        <f t="shared" si="19"/>
        <v>1141.0074754373036</v>
      </c>
      <c r="M66" s="209">
        <f t="shared" si="7"/>
        <v>38.454467154221732</v>
      </c>
      <c r="N66" s="210">
        <f t="shared" si="8"/>
        <v>1179.4619425915253</v>
      </c>
      <c r="O66" s="209">
        <v>0</v>
      </c>
      <c r="P66" s="209">
        <v>0</v>
      </c>
      <c r="Q66" s="209">
        <v>0</v>
      </c>
      <c r="R66" s="210">
        <f t="shared" si="9"/>
        <v>1179.4619425915253</v>
      </c>
    </row>
    <row r="67" spans="1:18" s="229" customFormat="1" x14ac:dyDescent="0.25">
      <c r="A67" s="162">
        <v>12</v>
      </c>
      <c r="B67" s="227">
        <f t="shared" si="4"/>
        <v>44166</v>
      </c>
      <c r="C67" s="225">
        <f t="shared" si="18"/>
        <v>44202</v>
      </c>
      <c r="D67" s="225">
        <f t="shared" si="18"/>
        <v>44221</v>
      </c>
      <c r="E67" s="228" t="s">
        <v>14</v>
      </c>
      <c r="F67" s="173">
        <v>9</v>
      </c>
      <c r="G67" s="216">
        <v>734</v>
      </c>
      <c r="H67" s="217">
        <f t="shared" si="5"/>
        <v>10.251577535152041</v>
      </c>
      <c r="I67" s="217">
        <f t="shared" si="20"/>
        <v>12.037191737714332</v>
      </c>
      <c r="J67" s="218">
        <f t="shared" si="2"/>
        <v>8835.2987354823199</v>
      </c>
      <c r="K67" s="219">
        <f t="shared" si="11"/>
        <v>7524.6579108015985</v>
      </c>
      <c r="L67" s="220">
        <f t="shared" si="19"/>
        <v>1310.6408246807214</v>
      </c>
      <c r="M67" s="209">
        <f t="shared" si="7"/>
        <v>44.171484962752345</v>
      </c>
      <c r="N67" s="210">
        <f t="shared" si="8"/>
        <v>1354.8123096434738</v>
      </c>
      <c r="O67" s="209">
        <v>0</v>
      </c>
      <c r="P67" s="209">
        <v>0</v>
      </c>
      <c r="Q67" s="209">
        <v>0</v>
      </c>
      <c r="R67" s="210">
        <f t="shared" si="9"/>
        <v>1354.8123096434738</v>
      </c>
    </row>
    <row r="68" spans="1:18" x14ac:dyDescent="0.25">
      <c r="A68" s="125">
        <v>1</v>
      </c>
      <c r="B68" s="201">
        <f t="shared" si="4"/>
        <v>43831</v>
      </c>
      <c r="C68" s="222">
        <f t="shared" ref="C68:D79" si="21">+C56</f>
        <v>43866</v>
      </c>
      <c r="D68" s="222">
        <f t="shared" si="21"/>
        <v>43885</v>
      </c>
      <c r="E68" s="203" t="s">
        <v>83</v>
      </c>
      <c r="F68" s="125">
        <v>9</v>
      </c>
      <c r="G68" s="204">
        <v>41</v>
      </c>
      <c r="H68" s="205">
        <f t="shared" si="5"/>
        <v>10.251577535152041</v>
      </c>
      <c r="I68" s="205">
        <f t="shared" si="20"/>
        <v>12.037191737714332</v>
      </c>
      <c r="J68" s="206">
        <f t="shared" si="2"/>
        <v>493.52486124628763</v>
      </c>
      <c r="K68" s="207">
        <f t="shared" si="11"/>
        <v>420.31467894123369</v>
      </c>
      <c r="L68" s="208">
        <f t="shared" si="19"/>
        <v>73.210182305053934</v>
      </c>
      <c r="M68" s="209">
        <f t="shared" si="7"/>
        <v>2.4673445278921609</v>
      </c>
      <c r="N68" s="210">
        <f t="shared" si="8"/>
        <v>75.6775268329461</v>
      </c>
      <c r="O68" s="209">
        <v>0</v>
      </c>
      <c r="P68" s="209">
        <v>0</v>
      </c>
      <c r="Q68" s="209">
        <v>0</v>
      </c>
      <c r="R68" s="210">
        <f t="shared" si="9"/>
        <v>75.6775268329461</v>
      </c>
    </row>
    <row r="69" spans="1:18" x14ac:dyDescent="0.25">
      <c r="A69" s="162">
        <v>2</v>
      </c>
      <c r="B69" s="201">
        <f t="shared" si="4"/>
        <v>43862</v>
      </c>
      <c r="C69" s="225">
        <f t="shared" si="21"/>
        <v>43894</v>
      </c>
      <c r="D69" s="225">
        <f t="shared" si="21"/>
        <v>43914</v>
      </c>
      <c r="E69" s="211" t="s">
        <v>83</v>
      </c>
      <c r="F69" s="162">
        <v>9</v>
      </c>
      <c r="G69" s="204">
        <v>34</v>
      </c>
      <c r="H69" s="205">
        <f t="shared" si="5"/>
        <v>10.251577535152041</v>
      </c>
      <c r="I69" s="205">
        <f t="shared" si="20"/>
        <v>12.037191737714332</v>
      </c>
      <c r="J69" s="206">
        <f t="shared" si="2"/>
        <v>409.26451908228728</v>
      </c>
      <c r="K69" s="207">
        <f t="shared" si="11"/>
        <v>348.55363619516942</v>
      </c>
      <c r="L69" s="208">
        <f t="shared" si="19"/>
        <v>60.710882887117862</v>
      </c>
      <c r="M69" s="209">
        <f t="shared" si="7"/>
        <v>2.0460905841056944</v>
      </c>
      <c r="N69" s="210">
        <f t="shared" si="8"/>
        <v>62.756973471223553</v>
      </c>
      <c r="O69" s="209">
        <v>0</v>
      </c>
      <c r="P69" s="209">
        <v>0</v>
      </c>
      <c r="Q69" s="209">
        <v>0</v>
      </c>
      <c r="R69" s="210">
        <f t="shared" si="9"/>
        <v>62.756973471223553</v>
      </c>
    </row>
    <row r="70" spans="1:18" x14ac:dyDescent="0.25">
      <c r="A70" s="162">
        <v>3</v>
      </c>
      <c r="B70" s="201">
        <f t="shared" si="4"/>
        <v>43891</v>
      </c>
      <c r="C70" s="225">
        <f t="shared" si="21"/>
        <v>43924</v>
      </c>
      <c r="D70" s="225">
        <f t="shared" si="21"/>
        <v>43945</v>
      </c>
      <c r="E70" s="211" t="s">
        <v>83</v>
      </c>
      <c r="F70" s="162">
        <v>9</v>
      </c>
      <c r="G70" s="204">
        <v>25</v>
      </c>
      <c r="H70" s="205">
        <f t="shared" si="5"/>
        <v>10.251577535152041</v>
      </c>
      <c r="I70" s="205">
        <f t="shared" si="20"/>
        <v>12.037191737714332</v>
      </c>
      <c r="J70" s="206">
        <f t="shared" si="2"/>
        <v>300.92979344285828</v>
      </c>
      <c r="K70" s="207">
        <f t="shared" si="11"/>
        <v>256.28943837880104</v>
      </c>
      <c r="L70" s="208">
        <f>+J70-K70</f>
        <v>44.640355064057246</v>
      </c>
      <c r="M70" s="209">
        <f t="shared" si="7"/>
        <v>1.5044783706659517</v>
      </c>
      <c r="N70" s="210">
        <f t="shared" si="8"/>
        <v>46.144833434723196</v>
      </c>
      <c r="O70" s="209">
        <v>0</v>
      </c>
      <c r="P70" s="209">
        <v>0</v>
      </c>
      <c r="Q70" s="209">
        <v>0</v>
      </c>
      <c r="R70" s="210">
        <f t="shared" si="9"/>
        <v>46.144833434723196</v>
      </c>
    </row>
    <row r="71" spans="1:18" x14ac:dyDescent="0.25">
      <c r="A71" s="125">
        <v>4</v>
      </c>
      <c r="B71" s="201">
        <f t="shared" si="4"/>
        <v>43922</v>
      </c>
      <c r="C71" s="225">
        <f t="shared" si="21"/>
        <v>43956</v>
      </c>
      <c r="D71" s="225">
        <f t="shared" si="21"/>
        <v>43976</v>
      </c>
      <c r="E71" s="211" t="s">
        <v>83</v>
      </c>
      <c r="F71" s="162">
        <v>9</v>
      </c>
      <c r="G71" s="204">
        <v>31</v>
      </c>
      <c r="H71" s="205">
        <f t="shared" si="5"/>
        <v>10.251577535152041</v>
      </c>
      <c r="I71" s="205">
        <f t="shared" si="20"/>
        <v>12.037191737714332</v>
      </c>
      <c r="J71" s="206">
        <f t="shared" si="2"/>
        <v>373.15294386914428</v>
      </c>
      <c r="K71" s="207">
        <f t="shared" si="11"/>
        <v>317.79890358971329</v>
      </c>
      <c r="L71" s="208">
        <f t="shared" ref="L71:L79" si="22">+J71-K71</f>
        <v>55.35404027943099</v>
      </c>
      <c r="M71" s="209">
        <f t="shared" si="7"/>
        <v>1.86555317962578</v>
      </c>
      <c r="N71" s="210">
        <f t="shared" si="8"/>
        <v>57.219593459056767</v>
      </c>
      <c r="O71" s="209">
        <v>0</v>
      </c>
      <c r="P71" s="209">
        <v>0</v>
      </c>
      <c r="Q71" s="209">
        <v>0</v>
      </c>
      <c r="R71" s="210">
        <f t="shared" si="9"/>
        <v>57.219593459056767</v>
      </c>
    </row>
    <row r="72" spans="1:18" x14ac:dyDescent="0.25">
      <c r="A72" s="162">
        <v>5</v>
      </c>
      <c r="B72" s="201">
        <f t="shared" si="4"/>
        <v>43952</v>
      </c>
      <c r="C72" s="225">
        <f t="shared" si="21"/>
        <v>43985</v>
      </c>
      <c r="D72" s="225">
        <f t="shared" si="21"/>
        <v>44006</v>
      </c>
      <c r="E72" s="211" t="s">
        <v>83</v>
      </c>
      <c r="F72" s="162">
        <v>9</v>
      </c>
      <c r="G72" s="204">
        <v>28</v>
      </c>
      <c r="H72" s="205">
        <f t="shared" si="5"/>
        <v>10.251577535152041</v>
      </c>
      <c r="I72" s="205">
        <f t="shared" si="20"/>
        <v>12.037191737714332</v>
      </c>
      <c r="J72" s="206">
        <f t="shared" si="2"/>
        <v>337.04136865600128</v>
      </c>
      <c r="K72" s="207">
        <f t="shared" si="11"/>
        <v>287.04417098425716</v>
      </c>
      <c r="L72" s="208">
        <f t="shared" si="22"/>
        <v>49.997197671744118</v>
      </c>
      <c r="M72" s="209">
        <f t="shared" si="7"/>
        <v>1.6850157751458659</v>
      </c>
      <c r="N72" s="210">
        <f t="shared" si="8"/>
        <v>51.682213446889982</v>
      </c>
      <c r="O72" s="209">
        <v>0</v>
      </c>
      <c r="P72" s="209">
        <v>0</v>
      </c>
      <c r="Q72" s="209">
        <v>0</v>
      </c>
      <c r="R72" s="210">
        <f t="shared" si="9"/>
        <v>51.682213446889982</v>
      </c>
    </row>
    <row r="73" spans="1:18" x14ac:dyDescent="0.25">
      <c r="A73" s="162">
        <v>6</v>
      </c>
      <c r="B73" s="201">
        <f t="shared" si="4"/>
        <v>43983</v>
      </c>
      <c r="C73" s="225">
        <f t="shared" si="21"/>
        <v>44015</v>
      </c>
      <c r="D73" s="225">
        <f t="shared" si="21"/>
        <v>44036</v>
      </c>
      <c r="E73" s="211" t="s">
        <v>83</v>
      </c>
      <c r="F73" s="162">
        <v>9</v>
      </c>
      <c r="G73" s="204">
        <v>46</v>
      </c>
      <c r="H73" s="205">
        <f t="shared" si="5"/>
        <v>10.251577535152041</v>
      </c>
      <c r="I73" s="205">
        <f t="shared" si="20"/>
        <v>12.037191737714332</v>
      </c>
      <c r="J73" s="206">
        <f t="shared" si="2"/>
        <v>553.71081993485927</v>
      </c>
      <c r="K73" s="207">
        <f t="shared" si="11"/>
        <v>471.57256661699387</v>
      </c>
      <c r="L73" s="212">
        <f t="shared" si="22"/>
        <v>82.138253317865406</v>
      </c>
      <c r="M73" s="209">
        <f t="shared" si="7"/>
        <v>2.7682402020253511</v>
      </c>
      <c r="N73" s="210">
        <f t="shared" si="8"/>
        <v>84.906493519890759</v>
      </c>
      <c r="O73" s="209">
        <v>0</v>
      </c>
      <c r="P73" s="209">
        <v>0</v>
      </c>
      <c r="Q73" s="209">
        <v>0</v>
      </c>
      <c r="R73" s="210">
        <f t="shared" si="9"/>
        <v>84.906493519890759</v>
      </c>
    </row>
    <row r="74" spans="1:18" x14ac:dyDescent="0.25">
      <c r="A74" s="125">
        <v>7</v>
      </c>
      <c r="B74" s="201">
        <f t="shared" si="4"/>
        <v>44013</v>
      </c>
      <c r="C74" s="225">
        <f t="shared" si="21"/>
        <v>44048</v>
      </c>
      <c r="D74" s="225">
        <f t="shared" si="21"/>
        <v>44067</v>
      </c>
      <c r="E74" s="211" t="s">
        <v>83</v>
      </c>
      <c r="F74" s="162">
        <v>9</v>
      </c>
      <c r="G74" s="204">
        <v>46</v>
      </c>
      <c r="H74" s="205">
        <f t="shared" si="5"/>
        <v>10.251577535152041</v>
      </c>
      <c r="I74" s="205">
        <f t="shared" si="20"/>
        <v>12.037191737714332</v>
      </c>
      <c r="J74" s="206">
        <f t="shared" si="2"/>
        <v>553.71081993485927</v>
      </c>
      <c r="K74" s="213">
        <f t="shared" si="11"/>
        <v>471.57256661699387</v>
      </c>
      <c r="L74" s="212">
        <f t="shared" si="22"/>
        <v>82.138253317865406</v>
      </c>
      <c r="M74" s="209">
        <f t="shared" si="7"/>
        <v>2.7682402020253511</v>
      </c>
      <c r="N74" s="210">
        <f t="shared" si="8"/>
        <v>84.906493519890759</v>
      </c>
      <c r="O74" s="209">
        <v>0</v>
      </c>
      <c r="P74" s="209">
        <v>0</v>
      </c>
      <c r="Q74" s="209">
        <v>0</v>
      </c>
      <c r="R74" s="210">
        <f t="shared" si="9"/>
        <v>84.906493519890759</v>
      </c>
    </row>
    <row r="75" spans="1:18" x14ac:dyDescent="0.25">
      <c r="A75" s="162">
        <v>8</v>
      </c>
      <c r="B75" s="201">
        <f t="shared" si="4"/>
        <v>44044</v>
      </c>
      <c r="C75" s="225">
        <f t="shared" si="21"/>
        <v>44077</v>
      </c>
      <c r="D75" s="225">
        <f t="shared" si="21"/>
        <v>44098</v>
      </c>
      <c r="E75" s="211" t="s">
        <v>83</v>
      </c>
      <c r="F75" s="162">
        <v>9</v>
      </c>
      <c r="G75" s="204">
        <v>43</v>
      </c>
      <c r="H75" s="205">
        <f t="shared" si="5"/>
        <v>10.251577535152041</v>
      </c>
      <c r="I75" s="205">
        <f t="shared" si="20"/>
        <v>12.037191737714332</v>
      </c>
      <c r="J75" s="206">
        <f t="shared" si="2"/>
        <v>517.59924472171633</v>
      </c>
      <c r="K75" s="213">
        <f t="shared" si="11"/>
        <v>440.81783401153774</v>
      </c>
      <c r="L75" s="212">
        <f t="shared" si="22"/>
        <v>76.781410710178591</v>
      </c>
      <c r="M75" s="209">
        <f t="shared" si="7"/>
        <v>2.587702797545437</v>
      </c>
      <c r="N75" s="210">
        <f t="shared" si="8"/>
        <v>79.369113507724023</v>
      </c>
      <c r="O75" s="209">
        <v>0</v>
      </c>
      <c r="P75" s="209">
        <v>0</v>
      </c>
      <c r="Q75" s="209">
        <v>0</v>
      </c>
      <c r="R75" s="210">
        <f t="shared" si="9"/>
        <v>79.369113507724023</v>
      </c>
    </row>
    <row r="76" spans="1:18" x14ac:dyDescent="0.25">
      <c r="A76" s="162">
        <v>9</v>
      </c>
      <c r="B76" s="201">
        <f t="shared" si="4"/>
        <v>44075</v>
      </c>
      <c r="C76" s="225">
        <f t="shared" si="21"/>
        <v>44109</v>
      </c>
      <c r="D76" s="225">
        <f t="shared" si="21"/>
        <v>44130</v>
      </c>
      <c r="E76" s="211" t="s">
        <v>83</v>
      </c>
      <c r="F76" s="162">
        <v>9</v>
      </c>
      <c r="G76" s="204">
        <v>41</v>
      </c>
      <c r="H76" s="205">
        <f t="shared" si="5"/>
        <v>10.251577535152041</v>
      </c>
      <c r="I76" s="205">
        <f t="shared" si="20"/>
        <v>12.037191737714332</v>
      </c>
      <c r="J76" s="206">
        <f t="shared" si="2"/>
        <v>493.52486124628763</v>
      </c>
      <c r="K76" s="213">
        <f t="shared" si="11"/>
        <v>420.31467894123369</v>
      </c>
      <c r="L76" s="212">
        <f t="shared" si="22"/>
        <v>73.210182305053934</v>
      </c>
      <c r="M76" s="209">
        <f t="shared" si="7"/>
        <v>2.4673445278921609</v>
      </c>
      <c r="N76" s="210">
        <f t="shared" si="8"/>
        <v>75.6775268329461</v>
      </c>
      <c r="O76" s="209">
        <v>0</v>
      </c>
      <c r="P76" s="209">
        <v>0</v>
      </c>
      <c r="Q76" s="209">
        <v>0</v>
      </c>
      <c r="R76" s="210">
        <f t="shared" si="9"/>
        <v>75.6775268329461</v>
      </c>
    </row>
    <row r="77" spans="1:18" x14ac:dyDescent="0.25">
      <c r="A77" s="125">
        <v>10</v>
      </c>
      <c r="B77" s="201">
        <f t="shared" si="4"/>
        <v>44105</v>
      </c>
      <c r="C77" s="225">
        <f t="shared" si="21"/>
        <v>44139</v>
      </c>
      <c r="D77" s="225">
        <f t="shared" si="21"/>
        <v>44159</v>
      </c>
      <c r="E77" s="211" t="s">
        <v>83</v>
      </c>
      <c r="F77" s="162">
        <v>9</v>
      </c>
      <c r="G77" s="204">
        <v>32</v>
      </c>
      <c r="H77" s="205">
        <f t="shared" si="5"/>
        <v>10.251577535152041</v>
      </c>
      <c r="I77" s="205">
        <f t="shared" si="20"/>
        <v>12.037191737714332</v>
      </c>
      <c r="J77" s="206">
        <f t="shared" si="2"/>
        <v>385.19013560685863</v>
      </c>
      <c r="K77" s="213">
        <f t="shared" si="11"/>
        <v>328.05048112486531</v>
      </c>
      <c r="L77" s="212">
        <f t="shared" si="22"/>
        <v>57.139654481993318</v>
      </c>
      <c r="M77" s="209">
        <f t="shared" si="7"/>
        <v>1.9257323144524183</v>
      </c>
      <c r="N77" s="210">
        <f t="shared" si="8"/>
        <v>59.065386796445736</v>
      </c>
      <c r="O77" s="209">
        <v>0</v>
      </c>
      <c r="P77" s="209">
        <v>0</v>
      </c>
      <c r="Q77" s="209">
        <v>0</v>
      </c>
      <c r="R77" s="210">
        <f t="shared" si="9"/>
        <v>59.065386796445736</v>
      </c>
    </row>
    <row r="78" spans="1:18" x14ac:dyDescent="0.25">
      <c r="A78" s="162">
        <v>11</v>
      </c>
      <c r="B78" s="201">
        <f t="shared" si="4"/>
        <v>44136</v>
      </c>
      <c r="C78" s="225">
        <f t="shared" si="21"/>
        <v>44168</v>
      </c>
      <c r="D78" s="225">
        <f t="shared" si="21"/>
        <v>44189</v>
      </c>
      <c r="E78" s="211" t="s">
        <v>83</v>
      </c>
      <c r="F78" s="162">
        <v>9</v>
      </c>
      <c r="G78" s="204">
        <v>30</v>
      </c>
      <c r="H78" s="205">
        <f t="shared" si="5"/>
        <v>10.251577535152041</v>
      </c>
      <c r="I78" s="205">
        <f t="shared" si="20"/>
        <v>12.037191737714332</v>
      </c>
      <c r="J78" s="206">
        <f t="shared" si="2"/>
        <v>361.11575213142999</v>
      </c>
      <c r="K78" s="213">
        <f>+$G78*H78</f>
        <v>307.54732605456121</v>
      </c>
      <c r="L78" s="212">
        <f t="shared" si="22"/>
        <v>53.568426076868775</v>
      </c>
      <c r="M78" s="209">
        <f t="shared" si="7"/>
        <v>1.8053740447991422</v>
      </c>
      <c r="N78" s="210">
        <f t="shared" si="8"/>
        <v>55.373800121667919</v>
      </c>
      <c r="O78" s="209">
        <v>0</v>
      </c>
      <c r="P78" s="209">
        <v>0</v>
      </c>
      <c r="Q78" s="209">
        <v>0</v>
      </c>
      <c r="R78" s="210">
        <f t="shared" si="9"/>
        <v>55.373800121667919</v>
      </c>
    </row>
    <row r="79" spans="1:18" s="229" customFormat="1" x14ac:dyDescent="0.25">
      <c r="A79" s="162">
        <v>12</v>
      </c>
      <c r="B79" s="227">
        <f t="shared" si="4"/>
        <v>44166</v>
      </c>
      <c r="C79" s="230">
        <f t="shared" si="21"/>
        <v>44202</v>
      </c>
      <c r="D79" s="230">
        <f t="shared" si="21"/>
        <v>44221</v>
      </c>
      <c r="E79" s="231" t="s">
        <v>83</v>
      </c>
      <c r="F79" s="173">
        <v>9</v>
      </c>
      <c r="G79" s="216">
        <v>39</v>
      </c>
      <c r="H79" s="217">
        <f t="shared" si="5"/>
        <v>10.251577535152041</v>
      </c>
      <c r="I79" s="217">
        <f t="shared" si="20"/>
        <v>12.037191737714332</v>
      </c>
      <c r="J79" s="218">
        <f t="shared" si="2"/>
        <v>469.45047777085898</v>
      </c>
      <c r="K79" s="219">
        <f>+$G79*H79</f>
        <v>399.81152387092959</v>
      </c>
      <c r="L79" s="220">
        <f t="shared" si="22"/>
        <v>69.63895389992939</v>
      </c>
      <c r="M79" s="209">
        <f t="shared" si="7"/>
        <v>2.3469862582388847</v>
      </c>
      <c r="N79" s="210">
        <f t="shared" si="8"/>
        <v>71.985940158168276</v>
      </c>
      <c r="O79" s="209">
        <v>0</v>
      </c>
      <c r="P79" s="209">
        <v>0</v>
      </c>
      <c r="Q79" s="209">
        <v>0</v>
      </c>
      <c r="R79" s="210">
        <f t="shared" si="9"/>
        <v>71.985940158168276</v>
      </c>
    </row>
    <row r="80" spans="1:18" s="52" customFormat="1" ht="12.75" customHeight="1" x14ac:dyDescent="0.25">
      <c r="A80" s="125">
        <v>1</v>
      </c>
      <c r="B80" s="201">
        <f t="shared" si="4"/>
        <v>43831</v>
      </c>
      <c r="C80" s="222">
        <f t="shared" ref="C80:D91" si="23">+C56</f>
        <v>43866</v>
      </c>
      <c r="D80" s="222">
        <f t="shared" si="23"/>
        <v>43885</v>
      </c>
      <c r="E80" s="203" t="s">
        <v>9</v>
      </c>
      <c r="F80" s="125">
        <v>9</v>
      </c>
      <c r="G80" s="204">
        <v>40</v>
      </c>
      <c r="H80" s="205">
        <f t="shared" si="5"/>
        <v>10.251577535152041</v>
      </c>
      <c r="I80" s="205">
        <f t="shared" si="20"/>
        <v>12.037191737714332</v>
      </c>
      <c r="J80" s="206">
        <f t="shared" si="2"/>
        <v>481.48766950857328</v>
      </c>
      <c r="K80" s="207">
        <f t="shared" si="11"/>
        <v>410.06310140608161</v>
      </c>
      <c r="L80" s="208">
        <f t="shared" si="19"/>
        <v>71.424568102491662</v>
      </c>
      <c r="M80" s="209">
        <f t="shared" si="7"/>
        <v>2.4071653930655228</v>
      </c>
      <c r="N80" s="210">
        <f t="shared" si="8"/>
        <v>73.831733495557188</v>
      </c>
      <c r="O80" s="209">
        <v>0</v>
      </c>
      <c r="P80" s="209">
        <v>0</v>
      </c>
      <c r="Q80" s="209">
        <v>0</v>
      </c>
      <c r="R80" s="210">
        <f t="shared" si="9"/>
        <v>73.831733495557188</v>
      </c>
    </row>
    <row r="81" spans="1:18" x14ac:dyDescent="0.25">
      <c r="A81" s="162">
        <v>2</v>
      </c>
      <c r="B81" s="201">
        <f t="shared" si="4"/>
        <v>43862</v>
      </c>
      <c r="C81" s="225">
        <f t="shared" si="23"/>
        <v>43894</v>
      </c>
      <c r="D81" s="225">
        <f t="shared" si="23"/>
        <v>43914</v>
      </c>
      <c r="E81" s="211" t="s">
        <v>9</v>
      </c>
      <c r="F81" s="162">
        <v>9</v>
      </c>
      <c r="G81" s="204">
        <v>42</v>
      </c>
      <c r="H81" s="205">
        <f t="shared" si="5"/>
        <v>10.251577535152041</v>
      </c>
      <c r="I81" s="205">
        <f t="shared" si="20"/>
        <v>12.037191737714332</v>
      </c>
      <c r="J81" s="206">
        <f t="shared" si="2"/>
        <v>505.56205298400198</v>
      </c>
      <c r="K81" s="207">
        <f t="shared" si="11"/>
        <v>430.56625647638572</v>
      </c>
      <c r="L81" s="208">
        <f t="shared" si="19"/>
        <v>74.995796507616262</v>
      </c>
      <c r="M81" s="209">
        <f t="shared" si="7"/>
        <v>2.5275236627187989</v>
      </c>
      <c r="N81" s="210">
        <f t="shared" si="8"/>
        <v>77.523320170335055</v>
      </c>
      <c r="O81" s="209">
        <v>0</v>
      </c>
      <c r="P81" s="209">
        <v>0</v>
      </c>
      <c r="Q81" s="209">
        <v>0</v>
      </c>
      <c r="R81" s="210">
        <f t="shared" si="9"/>
        <v>77.523320170335055</v>
      </c>
    </row>
    <row r="82" spans="1:18" x14ac:dyDescent="0.25">
      <c r="A82" s="162">
        <v>3</v>
      </c>
      <c r="B82" s="201">
        <f t="shared" si="4"/>
        <v>43891</v>
      </c>
      <c r="C82" s="225">
        <f t="shared" si="23"/>
        <v>43924</v>
      </c>
      <c r="D82" s="225">
        <f t="shared" si="23"/>
        <v>43945</v>
      </c>
      <c r="E82" s="211" t="s">
        <v>9</v>
      </c>
      <c r="F82" s="162">
        <v>9</v>
      </c>
      <c r="G82" s="204">
        <v>29</v>
      </c>
      <c r="H82" s="205">
        <f t="shared" si="5"/>
        <v>10.251577535152041</v>
      </c>
      <c r="I82" s="205">
        <f t="shared" si="20"/>
        <v>12.037191737714332</v>
      </c>
      <c r="J82" s="206">
        <f t="shared" si="2"/>
        <v>349.07856039371563</v>
      </c>
      <c r="K82" s="207">
        <f t="shared" si="11"/>
        <v>297.29574851940919</v>
      </c>
      <c r="L82" s="208">
        <f>+J82-K82</f>
        <v>51.782811874306446</v>
      </c>
      <c r="M82" s="209">
        <f t="shared" si="7"/>
        <v>1.7451949099725041</v>
      </c>
      <c r="N82" s="210">
        <f t="shared" si="8"/>
        <v>53.528006784278951</v>
      </c>
      <c r="O82" s="209">
        <v>0</v>
      </c>
      <c r="P82" s="209">
        <v>0</v>
      </c>
      <c r="Q82" s="209">
        <v>0</v>
      </c>
      <c r="R82" s="210">
        <f t="shared" si="9"/>
        <v>53.528006784278951</v>
      </c>
    </row>
    <row r="83" spans="1:18" ht="12" customHeight="1" x14ac:dyDescent="0.25">
      <c r="A83" s="125">
        <v>4</v>
      </c>
      <c r="B83" s="201">
        <f t="shared" si="4"/>
        <v>43922</v>
      </c>
      <c r="C83" s="225">
        <f t="shared" si="23"/>
        <v>43956</v>
      </c>
      <c r="D83" s="225">
        <f t="shared" si="23"/>
        <v>43976</v>
      </c>
      <c r="E83" s="54" t="s">
        <v>9</v>
      </c>
      <c r="F83" s="162">
        <v>9</v>
      </c>
      <c r="G83" s="204">
        <v>32</v>
      </c>
      <c r="H83" s="205">
        <f t="shared" si="5"/>
        <v>10.251577535152041</v>
      </c>
      <c r="I83" s="205">
        <f t="shared" si="20"/>
        <v>12.037191737714332</v>
      </c>
      <c r="J83" s="206">
        <f t="shared" si="2"/>
        <v>385.19013560685863</v>
      </c>
      <c r="K83" s="207">
        <f t="shared" si="11"/>
        <v>328.05048112486531</v>
      </c>
      <c r="L83" s="208">
        <f t="shared" ref="L83:L93" si="24">+J83-K83</f>
        <v>57.139654481993318</v>
      </c>
      <c r="M83" s="209">
        <f t="shared" si="7"/>
        <v>1.9257323144524183</v>
      </c>
      <c r="N83" s="210">
        <f t="shared" si="8"/>
        <v>59.065386796445736</v>
      </c>
      <c r="O83" s="209">
        <v>0</v>
      </c>
      <c r="P83" s="209">
        <v>0</v>
      </c>
      <c r="Q83" s="209">
        <v>0</v>
      </c>
      <c r="R83" s="210">
        <f t="shared" si="9"/>
        <v>59.065386796445736</v>
      </c>
    </row>
    <row r="84" spans="1:18" ht="12" customHeight="1" x14ac:dyDescent="0.25">
      <c r="A84" s="162">
        <v>5</v>
      </c>
      <c r="B84" s="201">
        <f t="shared" si="4"/>
        <v>43952</v>
      </c>
      <c r="C84" s="225">
        <f t="shared" si="23"/>
        <v>43985</v>
      </c>
      <c r="D84" s="225">
        <f t="shared" si="23"/>
        <v>44006</v>
      </c>
      <c r="E84" s="54" t="s">
        <v>9</v>
      </c>
      <c r="F84" s="162">
        <v>9</v>
      </c>
      <c r="G84" s="204">
        <v>24</v>
      </c>
      <c r="H84" s="205">
        <f t="shared" si="5"/>
        <v>10.251577535152041</v>
      </c>
      <c r="I84" s="205">
        <f t="shared" si="20"/>
        <v>12.037191737714332</v>
      </c>
      <c r="J84" s="206">
        <f t="shared" si="2"/>
        <v>288.89260170514399</v>
      </c>
      <c r="K84" s="207">
        <f t="shared" si="11"/>
        <v>246.03786084364899</v>
      </c>
      <c r="L84" s="208">
        <f t="shared" si="24"/>
        <v>42.854740861495003</v>
      </c>
      <c r="M84" s="209">
        <f t="shared" si="7"/>
        <v>1.4442992358393136</v>
      </c>
      <c r="N84" s="210">
        <f t="shared" si="8"/>
        <v>44.29904009733432</v>
      </c>
      <c r="O84" s="209">
        <v>0</v>
      </c>
      <c r="P84" s="209">
        <v>0</v>
      </c>
      <c r="Q84" s="209">
        <v>0</v>
      </c>
      <c r="R84" s="210">
        <f t="shared" si="9"/>
        <v>44.29904009733432</v>
      </c>
    </row>
    <row r="85" spans="1:18" x14ac:dyDescent="0.25">
      <c r="A85" s="162">
        <v>6</v>
      </c>
      <c r="B85" s="201">
        <f t="shared" si="4"/>
        <v>43983</v>
      </c>
      <c r="C85" s="225">
        <f t="shared" si="23"/>
        <v>44015</v>
      </c>
      <c r="D85" s="225">
        <f t="shared" si="23"/>
        <v>44036</v>
      </c>
      <c r="E85" s="54" t="s">
        <v>9</v>
      </c>
      <c r="F85" s="162">
        <v>9</v>
      </c>
      <c r="G85" s="204">
        <v>32</v>
      </c>
      <c r="H85" s="205">
        <f t="shared" ref="H85:H148" si="25">+$K$3</f>
        <v>10.251577535152041</v>
      </c>
      <c r="I85" s="205">
        <f t="shared" si="20"/>
        <v>12.037191737714332</v>
      </c>
      <c r="J85" s="206">
        <f t="shared" si="2"/>
        <v>385.19013560685863</v>
      </c>
      <c r="K85" s="207">
        <f t="shared" si="11"/>
        <v>328.05048112486531</v>
      </c>
      <c r="L85" s="212">
        <f t="shared" si="24"/>
        <v>57.139654481993318</v>
      </c>
      <c r="M85" s="209">
        <f t="shared" ref="M85:M148" si="26">G85/$G$212*$M$14</f>
        <v>1.9257323144524183</v>
      </c>
      <c r="N85" s="210">
        <f t="shared" ref="N85:N148" si="27">SUM(L85:M85)</f>
        <v>59.065386796445736</v>
      </c>
      <c r="O85" s="209">
        <v>0</v>
      </c>
      <c r="P85" s="209">
        <v>0</v>
      </c>
      <c r="Q85" s="209">
        <v>0</v>
      </c>
      <c r="R85" s="210">
        <f t="shared" ref="R85:R148" si="28">+N85-Q85</f>
        <v>59.065386796445736</v>
      </c>
    </row>
    <row r="86" spans="1:18" x14ac:dyDescent="0.25">
      <c r="A86" s="125">
        <v>7</v>
      </c>
      <c r="B86" s="201">
        <f t="shared" si="4"/>
        <v>44013</v>
      </c>
      <c r="C86" s="225">
        <f t="shared" si="23"/>
        <v>44048</v>
      </c>
      <c r="D86" s="225">
        <f t="shared" si="23"/>
        <v>44067</v>
      </c>
      <c r="E86" s="54" t="s">
        <v>9</v>
      </c>
      <c r="F86" s="162">
        <v>9</v>
      </c>
      <c r="G86" s="204">
        <v>42</v>
      </c>
      <c r="H86" s="205">
        <f t="shared" si="25"/>
        <v>10.251577535152041</v>
      </c>
      <c r="I86" s="205">
        <f t="shared" si="20"/>
        <v>12.037191737714332</v>
      </c>
      <c r="J86" s="206">
        <f t="shared" si="2"/>
        <v>505.56205298400198</v>
      </c>
      <c r="K86" s="213">
        <f t="shared" si="11"/>
        <v>430.56625647638572</v>
      </c>
      <c r="L86" s="212">
        <f t="shared" si="24"/>
        <v>74.995796507616262</v>
      </c>
      <c r="M86" s="209">
        <f t="shared" si="26"/>
        <v>2.5275236627187989</v>
      </c>
      <c r="N86" s="210">
        <f t="shared" si="27"/>
        <v>77.523320170335055</v>
      </c>
      <c r="O86" s="209">
        <v>0</v>
      </c>
      <c r="P86" s="209">
        <v>0</v>
      </c>
      <c r="Q86" s="209">
        <v>0</v>
      </c>
      <c r="R86" s="210">
        <f t="shared" si="28"/>
        <v>77.523320170335055</v>
      </c>
    </row>
    <row r="87" spans="1:18" x14ac:dyDescent="0.25">
      <c r="A87" s="162">
        <v>8</v>
      </c>
      <c r="B87" s="201">
        <f t="shared" si="4"/>
        <v>44044</v>
      </c>
      <c r="C87" s="225">
        <f t="shared" si="23"/>
        <v>44077</v>
      </c>
      <c r="D87" s="225">
        <f t="shared" si="23"/>
        <v>44098</v>
      </c>
      <c r="E87" s="54" t="s">
        <v>9</v>
      </c>
      <c r="F87" s="162">
        <v>9</v>
      </c>
      <c r="G87" s="204">
        <v>39</v>
      </c>
      <c r="H87" s="205">
        <f t="shared" si="25"/>
        <v>10.251577535152041</v>
      </c>
      <c r="I87" s="205">
        <f t="shared" si="20"/>
        <v>12.037191737714332</v>
      </c>
      <c r="J87" s="206">
        <f t="shared" si="2"/>
        <v>469.45047777085898</v>
      </c>
      <c r="K87" s="213">
        <f t="shared" si="11"/>
        <v>399.81152387092959</v>
      </c>
      <c r="L87" s="212">
        <f t="shared" si="24"/>
        <v>69.63895389992939</v>
      </c>
      <c r="M87" s="209">
        <f t="shared" si="26"/>
        <v>2.3469862582388847</v>
      </c>
      <c r="N87" s="210">
        <f t="shared" si="27"/>
        <v>71.985940158168276</v>
      </c>
      <c r="O87" s="209">
        <v>0</v>
      </c>
      <c r="P87" s="209">
        <v>0</v>
      </c>
      <c r="Q87" s="209">
        <v>0</v>
      </c>
      <c r="R87" s="210">
        <f t="shared" si="28"/>
        <v>71.985940158168276</v>
      </c>
    </row>
    <row r="88" spans="1:18" x14ac:dyDescent="0.25">
      <c r="A88" s="162">
        <v>9</v>
      </c>
      <c r="B88" s="201">
        <f t="shared" si="4"/>
        <v>44075</v>
      </c>
      <c r="C88" s="225">
        <f t="shared" si="23"/>
        <v>44109</v>
      </c>
      <c r="D88" s="225">
        <f t="shared" si="23"/>
        <v>44130</v>
      </c>
      <c r="E88" s="54" t="s">
        <v>9</v>
      </c>
      <c r="F88" s="162">
        <v>9</v>
      </c>
      <c r="G88" s="204">
        <v>36</v>
      </c>
      <c r="H88" s="205">
        <f t="shared" si="25"/>
        <v>10.251577535152041</v>
      </c>
      <c r="I88" s="205">
        <f t="shared" si="20"/>
        <v>12.037191737714332</v>
      </c>
      <c r="J88" s="206">
        <f t="shared" si="2"/>
        <v>433.33890255771598</v>
      </c>
      <c r="K88" s="213">
        <f t="shared" si="11"/>
        <v>369.05679126547346</v>
      </c>
      <c r="L88" s="212">
        <f t="shared" si="24"/>
        <v>64.282111292242519</v>
      </c>
      <c r="M88" s="209">
        <f t="shared" si="26"/>
        <v>2.1664488537589706</v>
      </c>
      <c r="N88" s="210">
        <f t="shared" si="27"/>
        <v>66.448560146001483</v>
      </c>
      <c r="O88" s="209">
        <v>0</v>
      </c>
      <c r="P88" s="209">
        <v>0</v>
      </c>
      <c r="Q88" s="209">
        <v>0</v>
      </c>
      <c r="R88" s="210">
        <f t="shared" si="28"/>
        <v>66.448560146001483</v>
      </c>
    </row>
    <row r="89" spans="1:18" x14ac:dyDescent="0.25">
      <c r="A89" s="125">
        <v>10</v>
      </c>
      <c r="B89" s="201">
        <f t="shared" si="4"/>
        <v>44105</v>
      </c>
      <c r="C89" s="225">
        <f t="shared" si="23"/>
        <v>44139</v>
      </c>
      <c r="D89" s="225">
        <f t="shared" si="23"/>
        <v>44159</v>
      </c>
      <c r="E89" s="54" t="s">
        <v>9</v>
      </c>
      <c r="F89" s="162">
        <v>9</v>
      </c>
      <c r="G89" s="204">
        <v>34</v>
      </c>
      <c r="H89" s="205">
        <f t="shared" si="25"/>
        <v>10.251577535152041</v>
      </c>
      <c r="I89" s="205">
        <f t="shared" si="20"/>
        <v>12.037191737714332</v>
      </c>
      <c r="J89" s="206">
        <f t="shared" si="2"/>
        <v>409.26451908228728</v>
      </c>
      <c r="K89" s="213">
        <f t="shared" si="11"/>
        <v>348.55363619516942</v>
      </c>
      <c r="L89" s="212">
        <f t="shared" si="24"/>
        <v>60.710882887117862</v>
      </c>
      <c r="M89" s="209">
        <f t="shared" si="26"/>
        <v>2.0460905841056944</v>
      </c>
      <c r="N89" s="210">
        <f t="shared" si="27"/>
        <v>62.756973471223553</v>
      </c>
      <c r="O89" s="209">
        <v>0</v>
      </c>
      <c r="P89" s="209">
        <v>0</v>
      </c>
      <c r="Q89" s="209">
        <v>0</v>
      </c>
      <c r="R89" s="210">
        <f t="shared" si="28"/>
        <v>62.756973471223553</v>
      </c>
    </row>
    <row r="90" spans="1:18" x14ac:dyDescent="0.25">
      <c r="A90" s="162">
        <v>11</v>
      </c>
      <c r="B90" s="201">
        <f t="shared" si="4"/>
        <v>44136</v>
      </c>
      <c r="C90" s="225">
        <f t="shared" si="23"/>
        <v>44168</v>
      </c>
      <c r="D90" s="225">
        <f t="shared" si="23"/>
        <v>44189</v>
      </c>
      <c r="E90" s="54" t="s">
        <v>9</v>
      </c>
      <c r="F90" s="162">
        <v>9</v>
      </c>
      <c r="G90" s="204">
        <v>37</v>
      </c>
      <c r="H90" s="205">
        <f t="shared" si="25"/>
        <v>10.251577535152041</v>
      </c>
      <c r="I90" s="205">
        <f t="shared" si="20"/>
        <v>12.037191737714332</v>
      </c>
      <c r="J90" s="206">
        <f t="shared" si="2"/>
        <v>445.37609429543028</v>
      </c>
      <c r="K90" s="213">
        <f t="shared" si="11"/>
        <v>379.30836880062554</v>
      </c>
      <c r="L90" s="212">
        <f t="shared" si="24"/>
        <v>66.067725494804733</v>
      </c>
      <c r="M90" s="209">
        <f t="shared" si="26"/>
        <v>2.2266279885856086</v>
      </c>
      <c r="N90" s="210">
        <f t="shared" si="27"/>
        <v>68.294353483390339</v>
      </c>
      <c r="O90" s="209">
        <v>0</v>
      </c>
      <c r="P90" s="209">
        <v>0</v>
      </c>
      <c r="Q90" s="209">
        <v>0</v>
      </c>
      <c r="R90" s="210">
        <f t="shared" si="28"/>
        <v>68.294353483390339</v>
      </c>
    </row>
    <row r="91" spans="1:18" s="229" customFormat="1" x14ac:dyDescent="0.25">
      <c r="A91" s="162">
        <v>12</v>
      </c>
      <c r="B91" s="227">
        <f t="shared" si="4"/>
        <v>44166</v>
      </c>
      <c r="C91" s="225">
        <f t="shared" si="23"/>
        <v>44202</v>
      </c>
      <c r="D91" s="225">
        <f t="shared" si="23"/>
        <v>44221</v>
      </c>
      <c r="E91" s="228" t="s">
        <v>9</v>
      </c>
      <c r="F91" s="173">
        <v>9</v>
      </c>
      <c r="G91" s="216">
        <v>41</v>
      </c>
      <c r="H91" s="217">
        <f t="shared" si="25"/>
        <v>10.251577535152041</v>
      </c>
      <c r="I91" s="217">
        <f t="shared" si="20"/>
        <v>12.037191737714332</v>
      </c>
      <c r="J91" s="218">
        <f t="shared" si="2"/>
        <v>493.52486124628763</v>
      </c>
      <c r="K91" s="219">
        <f t="shared" si="11"/>
        <v>420.31467894123369</v>
      </c>
      <c r="L91" s="220">
        <f t="shared" si="24"/>
        <v>73.210182305053934</v>
      </c>
      <c r="M91" s="209">
        <f t="shared" si="26"/>
        <v>2.4673445278921609</v>
      </c>
      <c r="N91" s="210">
        <f t="shared" si="27"/>
        <v>75.6775268329461</v>
      </c>
      <c r="O91" s="209">
        <v>0</v>
      </c>
      <c r="P91" s="209">
        <v>0</v>
      </c>
      <c r="Q91" s="209">
        <v>0</v>
      </c>
      <c r="R91" s="210">
        <f t="shared" si="28"/>
        <v>75.6775268329461</v>
      </c>
    </row>
    <row r="92" spans="1:18" x14ac:dyDescent="0.25">
      <c r="A92" s="125">
        <v>1</v>
      </c>
      <c r="B92" s="201">
        <f t="shared" si="4"/>
        <v>43831</v>
      </c>
      <c r="C92" s="222">
        <f t="shared" ref="C92:D95" si="29">+C80</f>
        <v>43866</v>
      </c>
      <c r="D92" s="222">
        <f t="shared" si="29"/>
        <v>43885</v>
      </c>
      <c r="E92" s="203" t="s">
        <v>8</v>
      </c>
      <c r="F92" s="125">
        <v>9</v>
      </c>
      <c r="G92" s="204">
        <v>76</v>
      </c>
      <c r="H92" s="205">
        <f t="shared" si="25"/>
        <v>10.251577535152041</v>
      </c>
      <c r="I92" s="205">
        <f t="shared" si="20"/>
        <v>12.037191737714332</v>
      </c>
      <c r="J92" s="206">
        <f t="shared" si="2"/>
        <v>914.82657206628926</v>
      </c>
      <c r="K92" s="207">
        <f t="shared" si="11"/>
        <v>779.11989267155514</v>
      </c>
      <c r="L92" s="208">
        <f t="shared" si="24"/>
        <v>135.70667939473412</v>
      </c>
      <c r="M92" s="209">
        <f t="shared" si="26"/>
        <v>4.5736142468244942</v>
      </c>
      <c r="N92" s="210">
        <f t="shared" si="27"/>
        <v>140.28029364155861</v>
      </c>
      <c r="O92" s="209">
        <v>0</v>
      </c>
      <c r="P92" s="209">
        <v>0</v>
      </c>
      <c r="Q92" s="209">
        <v>0</v>
      </c>
      <c r="R92" s="210">
        <f t="shared" si="28"/>
        <v>140.28029364155861</v>
      </c>
    </row>
    <row r="93" spans="1:18" x14ac:dyDescent="0.25">
      <c r="A93" s="162">
        <v>2</v>
      </c>
      <c r="B93" s="201">
        <f t="shared" si="4"/>
        <v>43862</v>
      </c>
      <c r="C93" s="225">
        <f t="shared" si="29"/>
        <v>43894</v>
      </c>
      <c r="D93" s="225">
        <f t="shared" si="29"/>
        <v>43914</v>
      </c>
      <c r="E93" s="211" t="s">
        <v>8</v>
      </c>
      <c r="F93" s="162">
        <v>9</v>
      </c>
      <c r="G93" s="204">
        <v>77</v>
      </c>
      <c r="H93" s="205">
        <f t="shared" si="25"/>
        <v>10.251577535152041</v>
      </c>
      <c r="I93" s="205">
        <f t="shared" si="20"/>
        <v>12.037191737714332</v>
      </c>
      <c r="J93" s="206">
        <f t="shared" si="2"/>
        <v>926.86376380400361</v>
      </c>
      <c r="K93" s="207">
        <f t="shared" si="11"/>
        <v>789.37147020670716</v>
      </c>
      <c r="L93" s="208">
        <f t="shared" si="24"/>
        <v>137.49229359729645</v>
      </c>
      <c r="M93" s="209">
        <f t="shared" si="26"/>
        <v>4.633793381651131</v>
      </c>
      <c r="N93" s="210">
        <f t="shared" si="27"/>
        <v>142.12608697894757</v>
      </c>
      <c r="O93" s="209">
        <v>0</v>
      </c>
      <c r="P93" s="209">
        <v>0</v>
      </c>
      <c r="Q93" s="209">
        <v>0</v>
      </c>
      <c r="R93" s="210">
        <f t="shared" si="28"/>
        <v>142.12608697894757</v>
      </c>
    </row>
    <row r="94" spans="1:18" x14ac:dyDescent="0.25">
      <c r="A94" s="162">
        <v>3</v>
      </c>
      <c r="B94" s="201">
        <f t="shared" si="4"/>
        <v>43891</v>
      </c>
      <c r="C94" s="225">
        <f t="shared" si="29"/>
        <v>43924</v>
      </c>
      <c r="D94" s="225">
        <f t="shared" si="29"/>
        <v>43945</v>
      </c>
      <c r="E94" s="211" t="s">
        <v>8</v>
      </c>
      <c r="F94" s="162">
        <v>9</v>
      </c>
      <c r="G94" s="204">
        <v>85</v>
      </c>
      <c r="H94" s="205">
        <f t="shared" si="25"/>
        <v>10.251577535152041</v>
      </c>
      <c r="I94" s="205">
        <f t="shared" si="20"/>
        <v>12.037191737714332</v>
      </c>
      <c r="J94" s="206">
        <f t="shared" si="2"/>
        <v>1023.1612977057182</v>
      </c>
      <c r="K94" s="207">
        <f t="shared" ref="K94:K133" si="30">+$G94*H94</f>
        <v>871.38409048792346</v>
      </c>
      <c r="L94" s="208">
        <f>+J94-K94</f>
        <v>151.77720721779474</v>
      </c>
      <c r="M94" s="209">
        <f t="shared" si="26"/>
        <v>5.1152264602642363</v>
      </c>
      <c r="N94" s="210">
        <f t="shared" si="27"/>
        <v>156.89243367805898</v>
      </c>
      <c r="O94" s="209">
        <v>0</v>
      </c>
      <c r="P94" s="209">
        <v>0</v>
      </c>
      <c r="Q94" s="209">
        <v>0</v>
      </c>
      <c r="R94" s="210">
        <f t="shared" si="28"/>
        <v>156.89243367805898</v>
      </c>
    </row>
    <row r="95" spans="1:18" x14ac:dyDescent="0.25">
      <c r="A95" s="125">
        <v>4</v>
      </c>
      <c r="B95" s="201">
        <f t="shared" si="4"/>
        <v>43922</v>
      </c>
      <c r="C95" s="225">
        <f t="shared" si="29"/>
        <v>43956</v>
      </c>
      <c r="D95" s="225">
        <f t="shared" si="29"/>
        <v>43976</v>
      </c>
      <c r="E95" s="211" t="s">
        <v>8</v>
      </c>
      <c r="F95" s="162">
        <v>9</v>
      </c>
      <c r="G95" s="204">
        <v>82</v>
      </c>
      <c r="H95" s="205">
        <f t="shared" si="25"/>
        <v>10.251577535152041</v>
      </c>
      <c r="I95" s="205">
        <f t="shared" si="20"/>
        <v>12.037191737714332</v>
      </c>
      <c r="J95" s="206">
        <f t="shared" si="2"/>
        <v>987.04972249257526</v>
      </c>
      <c r="K95" s="207">
        <f t="shared" si="30"/>
        <v>840.62935788246739</v>
      </c>
      <c r="L95" s="208">
        <f t="shared" ref="L95:L105" si="31">+J95-K95</f>
        <v>146.42036461010787</v>
      </c>
      <c r="M95" s="209">
        <f t="shared" si="26"/>
        <v>4.9346890557843217</v>
      </c>
      <c r="N95" s="210">
        <f t="shared" si="27"/>
        <v>151.3550536658922</v>
      </c>
      <c r="O95" s="209">
        <v>0</v>
      </c>
      <c r="P95" s="209">
        <v>0</v>
      </c>
      <c r="Q95" s="209">
        <v>0</v>
      </c>
      <c r="R95" s="210">
        <f t="shared" si="28"/>
        <v>151.3550536658922</v>
      </c>
    </row>
    <row r="96" spans="1:18" x14ac:dyDescent="0.25">
      <c r="A96" s="162">
        <v>5</v>
      </c>
      <c r="B96" s="201">
        <f t="shared" si="4"/>
        <v>43952</v>
      </c>
      <c r="C96" s="225">
        <f t="shared" ref="C96:D116" si="32">+C84</f>
        <v>43985</v>
      </c>
      <c r="D96" s="225">
        <f t="shared" si="32"/>
        <v>44006</v>
      </c>
      <c r="E96" s="54" t="s">
        <v>8</v>
      </c>
      <c r="F96" s="162">
        <v>9</v>
      </c>
      <c r="G96" s="204">
        <v>117</v>
      </c>
      <c r="H96" s="205">
        <f t="shared" si="25"/>
        <v>10.251577535152041</v>
      </c>
      <c r="I96" s="205">
        <f t="shared" si="20"/>
        <v>12.037191737714332</v>
      </c>
      <c r="J96" s="206">
        <f t="shared" si="2"/>
        <v>1408.3514333125768</v>
      </c>
      <c r="K96" s="207">
        <f t="shared" si="30"/>
        <v>1199.4345716127889</v>
      </c>
      <c r="L96" s="208">
        <f t="shared" si="31"/>
        <v>208.91686169978789</v>
      </c>
      <c r="M96" s="209">
        <f t="shared" si="26"/>
        <v>7.0409587747166542</v>
      </c>
      <c r="N96" s="210">
        <f t="shared" si="27"/>
        <v>215.95782047450453</v>
      </c>
      <c r="O96" s="209">
        <v>0</v>
      </c>
      <c r="P96" s="209">
        <v>0</v>
      </c>
      <c r="Q96" s="209">
        <v>0</v>
      </c>
      <c r="R96" s="210">
        <f t="shared" si="28"/>
        <v>215.95782047450453</v>
      </c>
    </row>
    <row r="97" spans="1:18" x14ac:dyDescent="0.25">
      <c r="A97" s="162">
        <v>6</v>
      </c>
      <c r="B97" s="201">
        <f t="shared" si="4"/>
        <v>43983</v>
      </c>
      <c r="C97" s="225">
        <f t="shared" si="32"/>
        <v>44015</v>
      </c>
      <c r="D97" s="225">
        <f t="shared" si="32"/>
        <v>44036</v>
      </c>
      <c r="E97" s="54" t="s">
        <v>8</v>
      </c>
      <c r="F97" s="162">
        <v>9</v>
      </c>
      <c r="G97" s="204">
        <v>131</v>
      </c>
      <c r="H97" s="205">
        <f t="shared" si="25"/>
        <v>10.251577535152041</v>
      </c>
      <c r="I97" s="205">
        <f t="shared" si="20"/>
        <v>12.037191737714332</v>
      </c>
      <c r="J97" s="206">
        <f t="shared" si="2"/>
        <v>1576.8721176405775</v>
      </c>
      <c r="K97" s="207">
        <f t="shared" si="30"/>
        <v>1342.9566571049174</v>
      </c>
      <c r="L97" s="212">
        <f t="shared" si="31"/>
        <v>233.91546053566003</v>
      </c>
      <c r="M97" s="209">
        <f t="shared" si="26"/>
        <v>7.8834666622895879</v>
      </c>
      <c r="N97" s="210">
        <f t="shared" si="27"/>
        <v>241.79892719794961</v>
      </c>
      <c r="O97" s="209">
        <v>0</v>
      </c>
      <c r="P97" s="209">
        <v>0</v>
      </c>
      <c r="Q97" s="209">
        <v>0</v>
      </c>
      <c r="R97" s="210">
        <f t="shared" si="28"/>
        <v>241.79892719794961</v>
      </c>
    </row>
    <row r="98" spans="1:18" x14ac:dyDescent="0.25">
      <c r="A98" s="125">
        <v>7</v>
      </c>
      <c r="B98" s="201">
        <f t="shared" si="4"/>
        <v>44013</v>
      </c>
      <c r="C98" s="225">
        <f t="shared" si="32"/>
        <v>44048</v>
      </c>
      <c r="D98" s="225">
        <f t="shared" si="32"/>
        <v>44067</v>
      </c>
      <c r="E98" s="54" t="s">
        <v>8</v>
      </c>
      <c r="F98" s="162">
        <v>9</v>
      </c>
      <c r="G98" s="204">
        <v>147</v>
      </c>
      <c r="H98" s="205">
        <f t="shared" si="25"/>
        <v>10.251577535152041</v>
      </c>
      <c r="I98" s="205">
        <f t="shared" si="20"/>
        <v>12.037191737714332</v>
      </c>
      <c r="J98" s="206">
        <f t="shared" si="2"/>
        <v>1769.4671854440069</v>
      </c>
      <c r="K98" s="213">
        <f t="shared" si="30"/>
        <v>1506.98189766735</v>
      </c>
      <c r="L98" s="212">
        <f t="shared" si="31"/>
        <v>262.48528777665683</v>
      </c>
      <c r="M98" s="209">
        <f t="shared" si="26"/>
        <v>8.846332819515796</v>
      </c>
      <c r="N98" s="210">
        <f t="shared" si="27"/>
        <v>271.33162059617263</v>
      </c>
      <c r="O98" s="209">
        <v>0</v>
      </c>
      <c r="P98" s="209">
        <v>0</v>
      </c>
      <c r="Q98" s="209">
        <v>0</v>
      </c>
      <c r="R98" s="210">
        <f t="shared" si="28"/>
        <v>271.33162059617263</v>
      </c>
    </row>
    <row r="99" spans="1:18" x14ac:dyDescent="0.25">
      <c r="A99" s="162">
        <v>8</v>
      </c>
      <c r="B99" s="201">
        <f t="shared" si="4"/>
        <v>44044</v>
      </c>
      <c r="C99" s="225">
        <f t="shared" si="32"/>
        <v>44077</v>
      </c>
      <c r="D99" s="225">
        <f t="shared" si="32"/>
        <v>44098</v>
      </c>
      <c r="E99" s="54" t="s">
        <v>8</v>
      </c>
      <c r="F99" s="162">
        <v>9</v>
      </c>
      <c r="G99" s="204">
        <v>141</v>
      </c>
      <c r="H99" s="205">
        <f t="shared" si="25"/>
        <v>10.251577535152041</v>
      </c>
      <c r="I99" s="205">
        <f t="shared" si="20"/>
        <v>12.037191737714332</v>
      </c>
      <c r="J99" s="206">
        <f t="shared" si="2"/>
        <v>1697.2440350177208</v>
      </c>
      <c r="K99" s="213">
        <f t="shared" si="30"/>
        <v>1445.4724324564379</v>
      </c>
      <c r="L99" s="212">
        <f t="shared" si="31"/>
        <v>251.77160256128286</v>
      </c>
      <c r="M99" s="209">
        <f t="shared" si="26"/>
        <v>8.4852580105559685</v>
      </c>
      <c r="N99" s="210">
        <f t="shared" si="27"/>
        <v>260.25686057183884</v>
      </c>
      <c r="O99" s="209">
        <v>0</v>
      </c>
      <c r="P99" s="209">
        <v>0</v>
      </c>
      <c r="Q99" s="209">
        <v>0</v>
      </c>
      <c r="R99" s="210">
        <f t="shared" si="28"/>
        <v>260.25686057183884</v>
      </c>
    </row>
    <row r="100" spans="1:18" x14ac:dyDescent="0.25">
      <c r="A100" s="162">
        <v>9</v>
      </c>
      <c r="B100" s="201">
        <f t="shared" si="4"/>
        <v>44075</v>
      </c>
      <c r="C100" s="225">
        <f t="shared" si="32"/>
        <v>44109</v>
      </c>
      <c r="D100" s="225">
        <f t="shared" si="32"/>
        <v>44130</v>
      </c>
      <c r="E100" s="54" t="s">
        <v>8</v>
      </c>
      <c r="F100" s="162">
        <v>9</v>
      </c>
      <c r="G100" s="204">
        <v>111</v>
      </c>
      <c r="H100" s="205">
        <f t="shared" si="25"/>
        <v>10.251577535152041</v>
      </c>
      <c r="I100" s="205">
        <f t="shared" si="20"/>
        <v>12.037191737714332</v>
      </c>
      <c r="J100" s="206">
        <f t="shared" si="2"/>
        <v>1336.1282828862909</v>
      </c>
      <c r="K100" s="213">
        <f t="shared" si="30"/>
        <v>1137.9251064018765</v>
      </c>
      <c r="L100" s="212">
        <f t="shared" si="31"/>
        <v>198.20317648441437</v>
      </c>
      <c r="M100" s="209">
        <f t="shared" si="26"/>
        <v>6.6798839657568259</v>
      </c>
      <c r="N100" s="210">
        <f t="shared" si="27"/>
        <v>204.8830604501712</v>
      </c>
      <c r="O100" s="209">
        <v>0</v>
      </c>
      <c r="P100" s="209">
        <v>0</v>
      </c>
      <c r="Q100" s="209">
        <v>0</v>
      </c>
      <c r="R100" s="210">
        <f t="shared" si="28"/>
        <v>204.8830604501712</v>
      </c>
    </row>
    <row r="101" spans="1:18" x14ac:dyDescent="0.25">
      <c r="A101" s="125">
        <v>10</v>
      </c>
      <c r="B101" s="201">
        <f t="shared" si="4"/>
        <v>44105</v>
      </c>
      <c r="C101" s="225">
        <f t="shared" si="32"/>
        <v>44139</v>
      </c>
      <c r="D101" s="225">
        <f t="shared" si="32"/>
        <v>44159</v>
      </c>
      <c r="E101" s="54" t="s">
        <v>8</v>
      </c>
      <c r="F101" s="162">
        <v>9</v>
      </c>
      <c r="G101" s="204">
        <v>98</v>
      </c>
      <c r="H101" s="205">
        <f t="shared" si="25"/>
        <v>10.251577535152041</v>
      </c>
      <c r="I101" s="205">
        <f t="shared" si="20"/>
        <v>12.037191737714332</v>
      </c>
      <c r="J101" s="206">
        <f t="shared" si="2"/>
        <v>1179.6447902960047</v>
      </c>
      <c r="K101" s="213">
        <f t="shared" si="30"/>
        <v>1004.6545984449</v>
      </c>
      <c r="L101" s="212">
        <f t="shared" si="31"/>
        <v>174.99019185110467</v>
      </c>
      <c r="M101" s="209">
        <f t="shared" si="26"/>
        <v>5.8975552130105307</v>
      </c>
      <c r="N101" s="210">
        <f t="shared" si="27"/>
        <v>180.88774706411519</v>
      </c>
      <c r="O101" s="209">
        <v>0</v>
      </c>
      <c r="P101" s="209">
        <v>0</v>
      </c>
      <c r="Q101" s="209">
        <v>0</v>
      </c>
      <c r="R101" s="210">
        <f t="shared" si="28"/>
        <v>180.88774706411519</v>
      </c>
    </row>
    <row r="102" spans="1:18" x14ac:dyDescent="0.25">
      <c r="A102" s="162">
        <v>11</v>
      </c>
      <c r="B102" s="201">
        <f t="shared" si="4"/>
        <v>44136</v>
      </c>
      <c r="C102" s="225">
        <f t="shared" si="32"/>
        <v>44168</v>
      </c>
      <c r="D102" s="225">
        <f t="shared" si="32"/>
        <v>44189</v>
      </c>
      <c r="E102" s="54" t="s">
        <v>8</v>
      </c>
      <c r="F102" s="162">
        <v>9</v>
      </c>
      <c r="G102" s="204">
        <v>74</v>
      </c>
      <c r="H102" s="205">
        <f t="shared" si="25"/>
        <v>10.251577535152041</v>
      </c>
      <c r="I102" s="205">
        <f t="shared" si="20"/>
        <v>12.037191737714332</v>
      </c>
      <c r="J102" s="206">
        <f t="shared" si="2"/>
        <v>890.75218859086056</v>
      </c>
      <c r="K102" s="213">
        <f t="shared" si="30"/>
        <v>758.61673760125109</v>
      </c>
      <c r="L102" s="212">
        <f t="shared" si="31"/>
        <v>132.13545098960947</v>
      </c>
      <c r="M102" s="209">
        <f t="shared" si="26"/>
        <v>4.4532559771712172</v>
      </c>
      <c r="N102" s="210">
        <f t="shared" si="27"/>
        <v>136.58870696678068</v>
      </c>
      <c r="O102" s="209">
        <v>0</v>
      </c>
      <c r="P102" s="209">
        <v>0</v>
      </c>
      <c r="Q102" s="209">
        <v>0</v>
      </c>
      <c r="R102" s="210">
        <f t="shared" si="28"/>
        <v>136.58870696678068</v>
      </c>
    </row>
    <row r="103" spans="1:18" s="229" customFormat="1" x14ac:dyDescent="0.25">
      <c r="A103" s="162">
        <v>12</v>
      </c>
      <c r="B103" s="227">
        <f t="shared" si="4"/>
        <v>44166</v>
      </c>
      <c r="C103" s="225">
        <f t="shared" si="32"/>
        <v>44202</v>
      </c>
      <c r="D103" s="225">
        <f t="shared" si="32"/>
        <v>44221</v>
      </c>
      <c r="E103" s="228" t="s">
        <v>8</v>
      </c>
      <c r="F103" s="173">
        <v>9</v>
      </c>
      <c r="G103" s="216">
        <v>78</v>
      </c>
      <c r="H103" s="217">
        <f t="shared" si="25"/>
        <v>10.251577535152041</v>
      </c>
      <c r="I103" s="217">
        <f t="shared" si="20"/>
        <v>12.037191737714332</v>
      </c>
      <c r="J103" s="218">
        <f t="shared" si="2"/>
        <v>938.90095554171796</v>
      </c>
      <c r="K103" s="219">
        <f t="shared" si="30"/>
        <v>799.62304774185918</v>
      </c>
      <c r="L103" s="220">
        <f t="shared" si="31"/>
        <v>139.27790779985878</v>
      </c>
      <c r="M103" s="209">
        <f t="shared" si="26"/>
        <v>4.6939725164777695</v>
      </c>
      <c r="N103" s="210">
        <f t="shared" si="27"/>
        <v>143.97188031633655</v>
      </c>
      <c r="O103" s="209">
        <v>0</v>
      </c>
      <c r="P103" s="209">
        <v>0</v>
      </c>
      <c r="Q103" s="209">
        <v>0</v>
      </c>
      <c r="R103" s="210">
        <f t="shared" si="28"/>
        <v>143.97188031633655</v>
      </c>
    </row>
    <row r="104" spans="1:18" x14ac:dyDescent="0.25">
      <c r="A104" s="125">
        <v>1</v>
      </c>
      <c r="B104" s="201">
        <f t="shared" si="4"/>
        <v>43831</v>
      </c>
      <c r="C104" s="222">
        <f t="shared" si="32"/>
        <v>43866</v>
      </c>
      <c r="D104" s="222">
        <f t="shared" si="32"/>
        <v>43885</v>
      </c>
      <c r="E104" s="203" t="s">
        <v>19</v>
      </c>
      <c r="F104" s="125">
        <v>9</v>
      </c>
      <c r="G104" s="204">
        <v>39</v>
      </c>
      <c r="H104" s="205">
        <f t="shared" si="25"/>
        <v>10.251577535152041</v>
      </c>
      <c r="I104" s="205">
        <f t="shared" si="20"/>
        <v>12.037191737714332</v>
      </c>
      <c r="J104" s="206">
        <f t="shared" si="2"/>
        <v>469.45047777085898</v>
      </c>
      <c r="K104" s="207">
        <f t="shared" si="30"/>
        <v>399.81152387092959</v>
      </c>
      <c r="L104" s="208">
        <f t="shared" si="31"/>
        <v>69.63895389992939</v>
      </c>
      <c r="M104" s="209">
        <f t="shared" si="26"/>
        <v>2.3469862582388847</v>
      </c>
      <c r="N104" s="210">
        <f t="shared" si="27"/>
        <v>71.985940158168276</v>
      </c>
      <c r="O104" s="209">
        <v>0</v>
      </c>
      <c r="P104" s="209">
        <v>0</v>
      </c>
      <c r="Q104" s="209">
        <v>0</v>
      </c>
      <c r="R104" s="210">
        <f t="shared" si="28"/>
        <v>71.985940158168276</v>
      </c>
    </row>
    <row r="105" spans="1:18" x14ac:dyDescent="0.25">
      <c r="A105" s="162">
        <v>2</v>
      </c>
      <c r="B105" s="201">
        <f t="shared" si="4"/>
        <v>43862</v>
      </c>
      <c r="C105" s="225">
        <f t="shared" si="32"/>
        <v>43894</v>
      </c>
      <c r="D105" s="225">
        <f t="shared" si="32"/>
        <v>43914</v>
      </c>
      <c r="E105" s="211" t="s">
        <v>19</v>
      </c>
      <c r="F105" s="162">
        <v>9</v>
      </c>
      <c r="G105" s="204">
        <v>41</v>
      </c>
      <c r="H105" s="205">
        <f t="shared" si="25"/>
        <v>10.251577535152041</v>
      </c>
      <c r="I105" s="205">
        <f t="shared" si="20"/>
        <v>12.037191737714332</v>
      </c>
      <c r="J105" s="206">
        <f t="shared" si="2"/>
        <v>493.52486124628763</v>
      </c>
      <c r="K105" s="207">
        <f t="shared" si="30"/>
        <v>420.31467894123369</v>
      </c>
      <c r="L105" s="208">
        <f t="shared" si="31"/>
        <v>73.210182305053934</v>
      </c>
      <c r="M105" s="209">
        <f t="shared" si="26"/>
        <v>2.4673445278921609</v>
      </c>
      <c r="N105" s="210">
        <f t="shared" si="27"/>
        <v>75.6775268329461</v>
      </c>
      <c r="O105" s="209">
        <v>0</v>
      </c>
      <c r="P105" s="209">
        <v>0</v>
      </c>
      <c r="Q105" s="209">
        <v>0</v>
      </c>
      <c r="R105" s="210">
        <f t="shared" si="28"/>
        <v>75.6775268329461</v>
      </c>
    </row>
    <row r="106" spans="1:18" x14ac:dyDescent="0.25">
      <c r="A106" s="162">
        <v>3</v>
      </c>
      <c r="B106" s="201">
        <f t="shared" si="4"/>
        <v>43891</v>
      </c>
      <c r="C106" s="225">
        <f t="shared" si="32"/>
        <v>43924</v>
      </c>
      <c r="D106" s="225">
        <f t="shared" si="32"/>
        <v>43945</v>
      </c>
      <c r="E106" s="211" t="s">
        <v>19</v>
      </c>
      <c r="F106" s="162">
        <v>9</v>
      </c>
      <c r="G106" s="204">
        <v>36</v>
      </c>
      <c r="H106" s="205">
        <f t="shared" si="25"/>
        <v>10.251577535152041</v>
      </c>
      <c r="I106" s="205">
        <f t="shared" si="20"/>
        <v>12.037191737714332</v>
      </c>
      <c r="J106" s="206">
        <f t="shared" si="2"/>
        <v>433.33890255771598</v>
      </c>
      <c r="K106" s="207">
        <f t="shared" si="30"/>
        <v>369.05679126547346</v>
      </c>
      <c r="L106" s="208">
        <f>+J106-K106</f>
        <v>64.282111292242519</v>
      </c>
      <c r="M106" s="209">
        <f t="shared" si="26"/>
        <v>2.1664488537589706</v>
      </c>
      <c r="N106" s="210">
        <f t="shared" si="27"/>
        <v>66.448560146001483</v>
      </c>
      <c r="O106" s="209">
        <v>0</v>
      </c>
      <c r="P106" s="209">
        <v>0</v>
      </c>
      <c r="Q106" s="209">
        <v>0</v>
      </c>
      <c r="R106" s="210">
        <f t="shared" si="28"/>
        <v>66.448560146001483</v>
      </c>
    </row>
    <row r="107" spans="1:18" x14ac:dyDescent="0.25">
      <c r="A107" s="125">
        <v>4</v>
      </c>
      <c r="B107" s="201">
        <f t="shared" si="4"/>
        <v>43922</v>
      </c>
      <c r="C107" s="225">
        <f t="shared" si="32"/>
        <v>43956</v>
      </c>
      <c r="D107" s="225">
        <f t="shared" si="32"/>
        <v>43976</v>
      </c>
      <c r="E107" s="54" t="s">
        <v>19</v>
      </c>
      <c r="F107" s="162">
        <v>9</v>
      </c>
      <c r="G107" s="204">
        <v>31</v>
      </c>
      <c r="H107" s="205">
        <f t="shared" si="25"/>
        <v>10.251577535152041</v>
      </c>
      <c r="I107" s="205">
        <f t="shared" si="20"/>
        <v>12.037191737714332</v>
      </c>
      <c r="J107" s="206">
        <f t="shared" si="2"/>
        <v>373.15294386914428</v>
      </c>
      <c r="K107" s="207">
        <f t="shared" si="30"/>
        <v>317.79890358971329</v>
      </c>
      <c r="L107" s="208">
        <f t="shared" ref="L107:L115" si="33">+J107-K107</f>
        <v>55.35404027943099</v>
      </c>
      <c r="M107" s="209">
        <f t="shared" si="26"/>
        <v>1.86555317962578</v>
      </c>
      <c r="N107" s="210">
        <f t="shared" si="27"/>
        <v>57.219593459056767</v>
      </c>
      <c r="O107" s="209">
        <v>0</v>
      </c>
      <c r="P107" s="209">
        <v>0</v>
      </c>
      <c r="Q107" s="209">
        <v>0</v>
      </c>
      <c r="R107" s="210">
        <f t="shared" si="28"/>
        <v>57.219593459056767</v>
      </c>
    </row>
    <row r="108" spans="1:18" x14ac:dyDescent="0.25">
      <c r="A108" s="162">
        <v>5</v>
      </c>
      <c r="B108" s="201">
        <f t="shared" si="4"/>
        <v>43952</v>
      </c>
      <c r="C108" s="225">
        <f t="shared" si="32"/>
        <v>43985</v>
      </c>
      <c r="D108" s="225">
        <f t="shared" si="32"/>
        <v>44006</v>
      </c>
      <c r="E108" s="54" t="s">
        <v>19</v>
      </c>
      <c r="F108" s="162">
        <v>9</v>
      </c>
      <c r="G108" s="204">
        <v>32</v>
      </c>
      <c r="H108" s="205">
        <f t="shared" si="25"/>
        <v>10.251577535152041</v>
      </c>
      <c r="I108" s="205">
        <f t="shared" ref="I108:I127" si="34">$J$3</f>
        <v>12.037191737714332</v>
      </c>
      <c r="J108" s="206">
        <f t="shared" si="2"/>
        <v>385.19013560685863</v>
      </c>
      <c r="K108" s="207">
        <f t="shared" si="30"/>
        <v>328.05048112486531</v>
      </c>
      <c r="L108" s="208">
        <f t="shared" si="33"/>
        <v>57.139654481993318</v>
      </c>
      <c r="M108" s="209">
        <f t="shared" si="26"/>
        <v>1.9257323144524183</v>
      </c>
      <c r="N108" s="210">
        <f t="shared" si="27"/>
        <v>59.065386796445736</v>
      </c>
      <c r="O108" s="209">
        <v>0</v>
      </c>
      <c r="P108" s="209">
        <v>0</v>
      </c>
      <c r="Q108" s="209">
        <v>0</v>
      </c>
      <c r="R108" s="210">
        <f t="shared" si="28"/>
        <v>59.065386796445736</v>
      </c>
    </row>
    <row r="109" spans="1:18" x14ac:dyDescent="0.25">
      <c r="A109" s="162">
        <v>6</v>
      </c>
      <c r="B109" s="201">
        <f t="shared" ref="B109:B148" si="35">DATE($R$1,A109,1)</f>
        <v>43983</v>
      </c>
      <c r="C109" s="225">
        <f t="shared" si="32"/>
        <v>44015</v>
      </c>
      <c r="D109" s="225">
        <f t="shared" si="32"/>
        <v>44036</v>
      </c>
      <c r="E109" s="54" t="s">
        <v>19</v>
      </c>
      <c r="F109" s="162">
        <v>9</v>
      </c>
      <c r="G109" s="204">
        <v>39</v>
      </c>
      <c r="H109" s="205">
        <f t="shared" si="25"/>
        <v>10.251577535152041</v>
      </c>
      <c r="I109" s="205">
        <f t="shared" si="34"/>
        <v>12.037191737714332</v>
      </c>
      <c r="J109" s="206">
        <f t="shared" ref="J109:J148" si="36">+$G109*I109</f>
        <v>469.45047777085898</v>
      </c>
      <c r="K109" s="207">
        <f t="shared" si="30"/>
        <v>399.81152387092959</v>
      </c>
      <c r="L109" s="212">
        <f t="shared" si="33"/>
        <v>69.63895389992939</v>
      </c>
      <c r="M109" s="209">
        <f t="shared" si="26"/>
        <v>2.3469862582388847</v>
      </c>
      <c r="N109" s="210">
        <f t="shared" si="27"/>
        <v>71.985940158168276</v>
      </c>
      <c r="O109" s="209">
        <v>0</v>
      </c>
      <c r="P109" s="209">
        <v>0</v>
      </c>
      <c r="Q109" s="209">
        <v>0</v>
      </c>
      <c r="R109" s="210">
        <f t="shared" si="28"/>
        <v>71.985940158168276</v>
      </c>
    </row>
    <row r="110" spans="1:18" x14ac:dyDescent="0.25">
      <c r="A110" s="125">
        <v>7</v>
      </c>
      <c r="B110" s="201">
        <f t="shared" si="35"/>
        <v>44013</v>
      </c>
      <c r="C110" s="225">
        <f t="shared" si="32"/>
        <v>44048</v>
      </c>
      <c r="D110" s="225">
        <f t="shared" si="32"/>
        <v>44067</v>
      </c>
      <c r="E110" s="54" t="s">
        <v>19</v>
      </c>
      <c r="F110" s="162">
        <v>9</v>
      </c>
      <c r="G110" s="204">
        <v>44</v>
      </c>
      <c r="H110" s="205">
        <f t="shared" si="25"/>
        <v>10.251577535152041</v>
      </c>
      <c r="I110" s="205">
        <f t="shared" si="34"/>
        <v>12.037191737714332</v>
      </c>
      <c r="J110" s="206">
        <f t="shared" si="36"/>
        <v>529.63643645943057</v>
      </c>
      <c r="K110" s="213">
        <f t="shared" si="30"/>
        <v>451.06941154668982</v>
      </c>
      <c r="L110" s="212">
        <f t="shared" si="33"/>
        <v>78.567024912740749</v>
      </c>
      <c r="M110" s="209">
        <f t="shared" si="26"/>
        <v>2.647881932372075</v>
      </c>
      <c r="N110" s="210">
        <f t="shared" si="27"/>
        <v>81.214906845112822</v>
      </c>
      <c r="O110" s="209">
        <v>0</v>
      </c>
      <c r="P110" s="209">
        <v>0</v>
      </c>
      <c r="Q110" s="209">
        <v>0</v>
      </c>
      <c r="R110" s="210">
        <f t="shared" si="28"/>
        <v>81.214906845112822</v>
      </c>
    </row>
    <row r="111" spans="1:18" x14ac:dyDescent="0.25">
      <c r="A111" s="162">
        <v>8</v>
      </c>
      <c r="B111" s="201">
        <f t="shared" si="35"/>
        <v>44044</v>
      </c>
      <c r="C111" s="225">
        <f t="shared" si="32"/>
        <v>44077</v>
      </c>
      <c r="D111" s="225">
        <f t="shared" si="32"/>
        <v>44098</v>
      </c>
      <c r="E111" s="54" t="s">
        <v>19</v>
      </c>
      <c r="F111" s="162">
        <v>9</v>
      </c>
      <c r="G111" s="204">
        <v>38</v>
      </c>
      <c r="H111" s="205">
        <f t="shared" si="25"/>
        <v>10.251577535152041</v>
      </c>
      <c r="I111" s="205">
        <f t="shared" si="34"/>
        <v>12.037191737714332</v>
      </c>
      <c r="J111" s="206">
        <f t="shared" si="36"/>
        <v>457.41328603314463</v>
      </c>
      <c r="K111" s="213">
        <f t="shared" si="30"/>
        <v>389.55994633577757</v>
      </c>
      <c r="L111" s="212">
        <f t="shared" si="33"/>
        <v>67.853339697367062</v>
      </c>
      <c r="M111" s="209">
        <f t="shared" si="26"/>
        <v>2.2868071234122471</v>
      </c>
      <c r="N111" s="210">
        <f t="shared" si="27"/>
        <v>70.140146820779307</v>
      </c>
      <c r="O111" s="209">
        <v>0</v>
      </c>
      <c r="P111" s="209">
        <v>0</v>
      </c>
      <c r="Q111" s="209">
        <v>0</v>
      </c>
      <c r="R111" s="210">
        <f t="shared" si="28"/>
        <v>70.140146820779307</v>
      </c>
    </row>
    <row r="112" spans="1:18" x14ac:dyDescent="0.25">
      <c r="A112" s="162">
        <v>9</v>
      </c>
      <c r="B112" s="201">
        <f t="shared" si="35"/>
        <v>44075</v>
      </c>
      <c r="C112" s="225">
        <f t="shared" si="32"/>
        <v>44109</v>
      </c>
      <c r="D112" s="225">
        <f t="shared" si="32"/>
        <v>44130</v>
      </c>
      <c r="E112" s="54" t="s">
        <v>19</v>
      </c>
      <c r="F112" s="162">
        <v>9</v>
      </c>
      <c r="G112" s="204">
        <v>41</v>
      </c>
      <c r="H112" s="205">
        <f t="shared" si="25"/>
        <v>10.251577535152041</v>
      </c>
      <c r="I112" s="205">
        <f t="shared" si="34"/>
        <v>12.037191737714332</v>
      </c>
      <c r="J112" s="206">
        <f t="shared" si="36"/>
        <v>493.52486124628763</v>
      </c>
      <c r="K112" s="213">
        <f t="shared" si="30"/>
        <v>420.31467894123369</v>
      </c>
      <c r="L112" s="212">
        <f t="shared" si="33"/>
        <v>73.210182305053934</v>
      </c>
      <c r="M112" s="209">
        <f t="shared" si="26"/>
        <v>2.4673445278921609</v>
      </c>
      <c r="N112" s="210">
        <f t="shared" si="27"/>
        <v>75.6775268329461</v>
      </c>
      <c r="O112" s="209">
        <v>0</v>
      </c>
      <c r="P112" s="209">
        <v>0</v>
      </c>
      <c r="Q112" s="209">
        <v>0</v>
      </c>
      <c r="R112" s="210">
        <f t="shared" si="28"/>
        <v>75.6775268329461</v>
      </c>
    </row>
    <row r="113" spans="1:18" x14ac:dyDescent="0.25">
      <c r="A113" s="125">
        <v>10</v>
      </c>
      <c r="B113" s="201">
        <f t="shared" si="35"/>
        <v>44105</v>
      </c>
      <c r="C113" s="225">
        <f t="shared" si="32"/>
        <v>44139</v>
      </c>
      <c r="D113" s="225">
        <f t="shared" si="32"/>
        <v>44159</v>
      </c>
      <c r="E113" s="54" t="s">
        <v>19</v>
      </c>
      <c r="F113" s="162">
        <v>9</v>
      </c>
      <c r="G113" s="204">
        <v>42</v>
      </c>
      <c r="H113" s="205">
        <f t="shared" si="25"/>
        <v>10.251577535152041</v>
      </c>
      <c r="I113" s="205">
        <f t="shared" si="34"/>
        <v>12.037191737714332</v>
      </c>
      <c r="J113" s="206">
        <f t="shared" si="36"/>
        <v>505.56205298400198</v>
      </c>
      <c r="K113" s="213">
        <f t="shared" si="30"/>
        <v>430.56625647638572</v>
      </c>
      <c r="L113" s="212">
        <f t="shared" si="33"/>
        <v>74.995796507616262</v>
      </c>
      <c r="M113" s="209">
        <f t="shared" si="26"/>
        <v>2.5275236627187989</v>
      </c>
      <c r="N113" s="210">
        <f t="shared" si="27"/>
        <v>77.523320170335055</v>
      </c>
      <c r="O113" s="209">
        <v>0</v>
      </c>
      <c r="P113" s="209">
        <v>0</v>
      </c>
      <c r="Q113" s="209">
        <v>0</v>
      </c>
      <c r="R113" s="210">
        <f t="shared" si="28"/>
        <v>77.523320170335055</v>
      </c>
    </row>
    <row r="114" spans="1:18" x14ac:dyDescent="0.25">
      <c r="A114" s="162">
        <v>11</v>
      </c>
      <c r="B114" s="201">
        <f t="shared" si="35"/>
        <v>44136</v>
      </c>
      <c r="C114" s="225">
        <f t="shared" si="32"/>
        <v>44168</v>
      </c>
      <c r="D114" s="225">
        <f t="shared" si="32"/>
        <v>44189</v>
      </c>
      <c r="E114" s="54" t="s">
        <v>19</v>
      </c>
      <c r="F114" s="162">
        <v>9</v>
      </c>
      <c r="G114" s="204">
        <v>45</v>
      </c>
      <c r="H114" s="205">
        <f t="shared" si="25"/>
        <v>10.251577535152041</v>
      </c>
      <c r="I114" s="205">
        <f t="shared" si="34"/>
        <v>12.037191737714332</v>
      </c>
      <c r="J114" s="206">
        <f t="shared" si="36"/>
        <v>541.67362819714492</v>
      </c>
      <c r="K114" s="213">
        <f t="shared" si="30"/>
        <v>461.32098908184184</v>
      </c>
      <c r="L114" s="212">
        <f t="shared" si="33"/>
        <v>80.352639115303077</v>
      </c>
      <c r="M114" s="209">
        <f t="shared" si="26"/>
        <v>2.7080610671987135</v>
      </c>
      <c r="N114" s="210">
        <f t="shared" si="27"/>
        <v>83.06070018250179</v>
      </c>
      <c r="O114" s="209">
        <v>0</v>
      </c>
      <c r="P114" s="209">
        <v>0</v>
      </c>
      <c r="Q114" s="209">
        <v>0</v>
      </c>
      <c r="R114" s="210">
        <f t="shared" si="28"/>
        <v>83.06070018250179</v>
      </c>
    </row>
    <row r="115" spans="1:18" s="229" customFormat="1" x14ac:dyDescent="0.25">
      <c r="A115" s="162">
        <v>12</v>
      </c>
      <c r="B115" s="227">
        <f t="shared" si="35"/>
        <v>44166</v>
      </c>
      <c r="C115" s="230">
        <f t="shared" si="32"/>
        <v>44202</v>
      </c>
      <c r="D115" s="230">
        <f t="shared" si="32"/>
        <v>44221</v>
      </c>
      <c r="E115" s="228" t="s">
        <v>19</v>
      </c>
      <c r="F115" s="173">
        <v>9</v>
      </c>
      <c r="G115" s="216">
        <v>43</v>
      </c>
      <c r="H115" s="217">
        <f t="shared" si="25"/>
        <v>10.251577535152041</v>
      </c>
      <c r="I115" s="217">
        <f t="shared" si="34"/>
        <v>12.037191737714332</v>
      </c>
      <c r="J115" s="218">
        <f t="shared" si="36"/>
        <v>517.59924472171633</v>
      </c>
      <c r="K115" s="219">
        <f t="shared" si="30"/>
        <v>440.81783401153774</v>
      </c>
      <c r="L115" s="220">
        <f t="shared" si="33"/>
        <v>76.781410710178591</v>
      </c>
      <c r="M115" s="209">
        <f t="shared" si="26"/>
        <v>2.587702797545437</v>
      </c>
      <c r="N115" s="210">
        <f t="shared" si="27"/>
        <v>79.369113507724023</v>
      </c>
      <c r="O115" s="209">
        <v>0</v>
      </c>
      <c r="P115" s="209">
        <v>0</v>
      </c>
      <c r="Q115" s="209">
        <v>0</v>
      </c>
      <c r="R115" s="210">
        <f t="shared" si="28"/>
        <v>79.369113507724023</v>
      </c>
    </row>
    <row r="116" spans="1:18" x14ac:dyDescent="0.25">
      <c r="A116" s="125">
        <v>1</v>
      </c>
      <c r="B116" s="201">
        <f t="shared" si="35"/>
        <v>43831</v>
      </c>
      <c r="C116" s="225">
        <f t="shared" si="32"/>
        <v>43866</v>
      </c>
      <c r="D116" s="225">
        <f t="shared" si="32"/>
        <v>43885</v>
      </c>
      <c r="E116" s="203" t="s">
        <v>13</v>
      </c>
      <c r="F116" s="125">
        <v>9</v>
      </c>
      <c r="G116" s="204">
        <v>973</v>
      </c>
      <c r="H116" s="205">
        <f t="shared" si="25"/>
        <v>10.251577535152041</v>
      </c>
      <c r="I116" s="205">
        <f t="shared" si="34"/>
        <v>12.037191737714332</v>
      </c>
      <c r="J116" s="206">
        <f t="shared" si="36"/>
        <v>11712.187560796045</v>
      </c>
      <c r="K116" s="207">
        <f t="shared" si="30"/>
        <v>9974.7849417029356</v>
      </c>
      <c r="L116" s="208">
        <f>+J116-K116</f>
        <v>1737.402619093109</v>
      </c>
      <c r="M116" s="209">
        <f t="shared" si="26"/>
        <v>58.554298186318846</v>
      </c>
      <c r="N116" s="210">
        <f t="shared" si="27"/>
        <v>1795.9569172794279</v>
      </c>
      <c r="O116" s="209">
        <v>0</v>
      </c>
      <c r="P116" s="209">
        <v>0</v>
      </c>
      <c r="Q116" s="209">
        <v>0</v>
      </c>
      <c r="R116" s="210">
        <f t="shared" si="28"/>
        <v>1795.9569172794279</v>
      </c>
    </row>
    <row r="117" spans="1:18" x14ac:dyDescent="0.25">
      <c r="A117" s="162">
        <v>2</v>
      </c>
      <c r="B117" s="201">
        <f t="shared" si="35"/>
        <v>43862</v>
      </c>
      <c r="C117" s="225">
        <f t="shared" ref="C117:D139" si="37">+C105</f>
        <v>43894</v>
      </c>
      <c r="D117" s="225">
        <f t="shared" si="37"/>
        <v>43914</v>
      </c>
      <c r="E117" s="211" t="s">
        <v>13</v>
      </c>
      <c r="F117" s="162">
        <v>9</v>
      </c>
      <c r="G117" s="204">
        <v>991</v>
      </c>
      <c r="H117" s="205">
        <f t="shared" si="25"/>
        <v>10.251577535152041</v>
      </c>
      <c r="I117" s="205">
        <f t="shared" si="34"/>
        <v>12.037191737714332</v>
      </c>
      <c r="J117" s="206">
        <f t="shared" si="36"/>
        <v>11928.857012074903</v>
      </c>
      <c r="K117" s="207">
        <f t="shared" si="30"/>
        <v>10159.313337335672</v>
      </c>
      <c r="L117" s="208">
        <f>+J117-K117</f>
        <v>1769.5436747392305</v>
      </c>
      <c r="M117" s="209">
        <f t="shared" si="26"/>
        <v>59.637522613198328</v>
      </c>
      <c r="N117" s="210">
        <f t="shared" si="27"/>
        <v>1829.1811973524289</v>
      </c>
      <c r="O117" s="209">
        <v>0</v>
      </c>
      <c r="P117" s="209">
        <v>0</v>
      </c>
      <c r="Q117" s="209">
        <v>0</v>
      </c>
      <c r="R117" s="210">
        <f t="shared" si="28"/>
        <v>1829.1811973524289</v>
      </c>
    </row>
    <row r="118" spans="1:18" x14ac:dyDescent="0.25">
      <c r="A118" s="162">
        <v>3</v>
      </c>
      <c r="B118" s="201">
        <f t="shared" si="35"/>
        <v>43891</v>
      </c>
      <c r="C118" s="225">
        <f t="shared" si="37"/>
        <v>43924</v>
      </c>
      <c r="D118" s="225">
        <f t="shared" si="37"/>
        <v>43945</v>
      </c>
      <c r="E118" s="211" t="s">
        <v>13</v>
      </c>
      <c r="F118" s="162">
        <v>9</v>
      </c>
      <c r="G118" s="204">
        <v>585</v>
      </c>
      <c r="H118" s="205">
        <f t="shared" si="25"/>
        <v>10.251577535152041</v>
      </c>
      <c r="I118" s="205">
        <f t="shared" si="34"/>
        <v>12.037191737714332</v>
      </c>
      <c r="J118" s="206">
        <f t="shared" si="36"/>
        <v>7041.7571665628848</v>
      </c>
      <c r="K118" s="207">
        <f t="shared" si="30"/>
        <v>5997.1728580639437</v>
      </c>
      <c r="L118" s="208">
        <f>+J118-K118</f>
        <v>1044.584308498941</v>
      </c>
      <c r="M118" s="209">
        <f t="shared" si="26"/>
        <v>35.20479387358327</v>
      </c>
      <c r="N118" s="210">
        <f t="shared" si="27"/>
        <v>1079.7891023725242</v>
      </c>
      <c r="O118" s="209">
        <v>0</v>
      </c>
      <c r="P118" s="209">
        <v>0</v>
      </c>
      <c r="Q118" s="209">
        <v>0</v>
      </c>
      <c r="R118" s="210">
        <f t="shared" si="28"/>
        <v>1079.7891023725242</v>
      </c>
    </row>
    <row r="119" spans="1:18" x14ac:dyDescent="0.25">
      <c r="A119" s="125">
        <v>4</v>
      </c>
      <c r="B119" s="201">
        <f t="shared" si="35"/>
        <v>43922</v>
      </c>
      <c r="C119" s="225">
        <f t="shared" si="37"/>
        <v>43956</v>
      </c>
      <c r="D119" s="225">
        <f t="shared" si="37"/>
        <v>43976</v>
      </c>
      <c r="E119" s="54" t="s">
        <v>13</v>
      </c>
      <c r="F119" s="162">
        <v>9</v>
      </c>
      <c r="G119" s="204">
        <v>650</v>
      </c>
      <c r="H119" s="205">
        <f t="shared" si="25"/>
        <v>10.251577535152041</v>
      </c>
      <c r="I119" s="205">
        <f t="shared" si="34"/>
        <v>12.037191737714332</v>
      </c>
      <c r="J119" s="206">
        <f t="shared" si="36"/>
        <v>7824.1746295143157</v>
      </c>
      <c r="K119" s="207">
        <f t="shared" si="30"/>
        <v>6663.5253978488263</v>
      </c>
      <c r="L119" s="208">
        <f t="shared" ref="L119:L127" si="38">+J119-K119</f>
        <v>1160.6492316654894</v>
      </c>
      <c r="M119" s="209">
        <f t="shared" si="26"/>
        <v>39.116437637314746</v>
      </c>
      <c r="N119" s="210">
        <f t="shared" si="27"/>
        <v>1199.7656693028041</v>
      </c>
      <c r="O119" s="209">
        <v>0</v>
      </c>
      <c r="P119" s="209">
        <v>0</v>
      </c>
      <c r="Q119" s="209">
        <v>0</v>
      </c>
      <c r="R119" s="210">
        <f t="shared" si="28"/>
        <v>1199.7656693028041</v>
      </c>
    </row>
    <row r="120" spans="1:18" x14ac:dyDescent="0.25">
      <c r="A120" s="162">
        <v>5</v>
      </c>
      <c r="B120" s="201">
        <f t="shared" si="35"/>
        <v>43952</v>
      </c>
      <c r="C120" s="225">
        <f t="shared" si="37"/>
        <v>43985</v>
      </c>
      <c r="D120" s="225">
        <f t="shared" si="37"/>
        <v>44006</v>
      </c>
      <c r="E120" s="54" t="s">
        <v>13</v>
      </c>
      <c r="F120" s="162">
        <v>9</v>
      </c>
      <c r="G120" s="204">
        <v>688</v>
      </c>
      <c r="H120" s="205">
        <f t="shared" si="25"/>
        <v>10.251577535152041</v>
      </c>
      <c r="I120" s="205">
        <f t="shared" si="34"/>
        <v>12.037191737714332</v>
      </c>
      <c r="J120" s="206">
        <f t="shared" si="36"/>
        <v>8281.5879155474613</v>
      </c>
      <c r="K120" s="207">
        <f t="shared" si="30"/>
        <v>7053.0853441846039</v>
      </c>
      <c r="L120" s="208">
        <f t="shared" si="38"/>
        <v>1228.5025713628575</v>
      </c>
      <c r="M120" s="209">
        <f t="shared" si="26"/>
        <v>41.403244760726992</v>
      </c>
      <c r="N120" s="210">
        <f t="shared" si="27"/>
        <v>1269.9058161235844</v>
      </c>
      <c r="O120" s="209">
        <v>0</v>
      </c>
      <c r="P120" s="209">
        <v>0</v>
      </c>
      <c r="Q120" s="209">
        <v>0</v>
      </c>
      <c r="R120" s="210">
        <f t="shared" si="28"/>
        <v>1269.9058161235844</v>
      </c>
    </row>
    <row r="121" spans="1:18" x14ac:dyDescent="0.25">
      <c r="A121" s="162">
        <v>6</v>
      </c>
      <c r="B121" s="201">
        <f t="shared" si="35"/>
        <v>43983</v>
      </c>
      <c r="C121" s="225">
        <f t="shared" si="37"/>
        <v>44015</v>
      </c>
      <c r="D121" s="225">
        <f t="shared" si="37"/>
        <v>44036</v>
      </c>
      <c r="E121" s="54" t="s">
        <v>13</v>
      </c>
      <c r="F121" s="162">
        <v>9</v>
      </c>
      <c r="G121" s="204">
        <v>835</v>
      </c>
      <c r="H121" s="205">
        <f t="shared" si="25"/>
        <v>10.251577535152041</v>
      </c>
      <c r="I121" s="205">
        <f t="shared" si="34"/>
        <v>12.037191737714332</v>
      </c>
      <c r="J121" s="206">
        <f t="shared" si="36"/>
        <v>10051.055100991467</v>
      </c>
      <c r="K121" s="207">
        <f t="shared" si="30"/>
        <v>8560.0672418519534</v>
      </c>
      <c r="L121" s="212">
        <f t="shared" si="38"/>
        <v>1490.9878591395136</v>
      </c>
      <c r="M121" s="209">
        <f t="shared" si="26"/>
        <v>50.249577580242786</v>
      </c>
      <c r="N121" s="210">
        <f t="shared" si="27"/>
        <v>1541.2374367197565</v>
      </c>
      <c r="O121" s="209">
        <v>0</v>
      </c>
      <c r="P121" s="209">
        <v>0</v>
      </c>
      <c r="Q121" s="209">
        <v>0</v>
      </c>
      <c r="R121" s="210">
        <f t="shared" si="28"/>
        <v>1541.2374367197565</v>
      </c>
    </row>
    <row r="122" spans="1:18" x14ac:dyDescent="0.25">
      <c r="A122" s="125">
        <v>7</v>
      </c>
      <c r="B122" s="201">
        <f t="shared" si="35"/>
        <v>44013</v>
      </c>
      <c r="C122" s="225">
        <f t="shared" si="37"/>
        <v>44048</v>
      </c>
      <c r="D122" s="225">
        <f t="shared" si="37"/>
        <v>44067</v>
      </c>
      <c r="E122" s="54" t="s">
        <v>13</v>
      </c>
      <c r="F122" s="162">
        <v>9</v>
      </c>
      <c r="G122" s="204">
        <v>908</v>
      </c>
      <c r="H122" s="205">
        <f t="shared" si="25"/>
        <v>10.251577535152041</v>
      </c>
      <c r="I122" s="205">
        <f t="shared" si="34"/>
        <v>12.037191737714332</v>
      </c>
      <c r="J122" s="206">
        <f t="shared" si="36"/>
        <v>10929.770097844614</v>
      </c>
      <c r="K122" s="213">
        <f t="shared" si="30"/>
        <v>9308.4324019180531</v>
      </c>
      <c r="L122" s="212">
        <f t="shared" si="38"/>
        <v>1621.3376959265606</v>
      </c>
      <c r="M122" s="209">
        <f t="shared" si="26"/>
        <v>54.64265442258737</v>
      </c>
      <c r="N122" s="210">
        <f t="shared" si="27"/>
        <v>1675.980350349148</v>
      </c>
      <c r="O122" s="209">
        <v>0</v>
      </c>
      <c r="P122" s="209">
        <v>0</v>
      </c>
      <c r="Q122" s="209">
        <v>0</v>
      </c>
      <c r="R122" s="210">
        <f t="shared" si="28"/>
        <v>1675.980350349148</v>
      </c>
    </row>
    <row r="123" spans="1:18" x14ac:dyDescent="0.25">
      <c r="A123" s="162">
        <v>8</v>
      </c>
      <c r="B123" s="201">
        <f t="shared" si="35"/>
        <v>44044</v>
      </c>
      <c r="C123" s="225">
        <f t="shared" si="37"/>
        <v>44077</v>
      </c>
      <c r="D123" s="225">
        <f t="shared" si="37"/>
        <v>44098</v>
      </c>
      <c r="E123" s="54" t="s">
        <v>13</v>
      </c>
      <c r="F123" s="162">
        <v>9</v>
      </c>
      <c r="G123" s="204">
        <v>905</v>
      </c>
      <c r="H123" s="205">
        <f t="shared" si="25"/>
        <v>10.251577535152041</v>
      </c>
      <c r="I123" s="205">
        <f t="shared" si="34"/>
        <v>12.037191737714332</v>
      </c>
      <c r="J123" s="206">
        <f t="shared" si="36"/>
        <v>10893.658522631471</v>
      </c>
      <c r="K123" s="213">
        <f t="shared" si="30"/>
        <v>9277.6776693125976</v>
      </c>
      <c r="L123" s="212">
        <f t="shared" si="38"/>
        <v>1615.9808533188734</v>
      </c>
      <c r="M123" s="209">
        <f t="shared" si="26"/>
        <v>54.462117018107456</v>
      </c>
      <c r="N123" s="210">
        <f t="shared" si="27"/>
        <v>1670.4429703369808</v>
      </c>
      <c r="O123" s="209">
        <v>0</v>
      </c>
      <c r="P123" s="209">
        <v>0</v>
      </c>
      <c r="Q123" s="209">
        <v>0</v>
      </c>
      <c r="R123" s="210">
        <f t="shared" si="28"/>
        <v>1670.4429703369808</v>
      </c>
    </row>
    <row r="124" spans="1:18" x14ac:dyDescent="0.25">
      <c r="A124" s="162">
        <v>9</v>
      </c>
      <c r="B124" s="201">
        <f t="shared" si="35"/>
        <v>44075</v>
      </c>
      <c r="C124" s="225">
        <f t="shared" si="37"/>
        <v>44109</v>
      </c>
      <c r="D124" s="225">
        <f t="shared" si="37"/>
        <v>44130</v>
      </c>
      <c r="E124" s="54" t="s">
        <v>13</v>
      </c>
      <c r="F124" s="162">
        <v>9</v>
      </c>
      <c r="G124" s="204">
        <v>758</v>
      </c>
      <c r="H124" s="205">
        <f t="shared" si="25"/>
        <v>10.251577535152041</v>
      </c>
      <c r="I124" s="205">
        <f t="shared" si="34"/>
        <v>12.037191737714332</v>
      </c>
      <c r="J124" s="206">
        <f t="shared" si="36"/>
        <v>9124.1913371874634</v>
      </c>
      <c r="K124" s="213">
        <f t="shared" si="30"/>
        <v>7770.6957716452471</v>
      </c>
      <c r="L124" s="212">
        <f t="shared" si="38"/>
        <v>1353.4955655422164</v>
      </c>
      <c r="M124" s="209">
        <f t="shared" si="26"/>
        <v>45.615784198591655</v>
      </c>
      <c r="N124" s="210">
        <f t="shared" si="27"/>
        <v>1399.111349740808</v>
      </c>
      <c r="O124" s="209">
        <v>0</v>
      </c>
      <c r="P124" s="209">
        <v>0</v>
      </c>
      <c r="Q124" s="209">
        <v>0</v>
      </c>
      <c r="R124" s="210">
        <f t="shared" si="28"/>
        <v>1399.111349740808</v>
      </c>
    </row>
    <row r="125" spans="1:18" x14ac:dyDescent="0.25">
      <c r="A125" s="125">
        <v>10</v>
      </c>
      <c r="B125" s="201">
        <f t="shared" si="35"/>
        <v>44105</v>
      </c>
      <c r="C125" s="225">
        <f t="shared" si="37"/>
        <v>44139</v>
      </c>
      <c r="D125" s="225">
        <f t="shared" si="37"/>
        <v>44159</v>
      </c>
      <c r="E125" s="54" t="s">
        <v>13</v>
      </c>
      <c r="F125" s="162">
        <v>9</v>
      </c>
      <c r="G125" s="204">
        <v>713</v>
      </c>
      <c r="H125" s="205">
        <f t="shared" si="25"/>
        <v>10.251577535152041</v>
      </c>
      <c r="I125" s="205">
        <f t="shared" si="34"/>
        <v>12.037191737714332</v>
      </c>
      <c r="J125" s="206">
        <f t="shared" si="36"/>
        <v>8582.5177089903191</v>
      </c>
      <c r="K125" s="213">
        <f t="shared" si="30"/>
        <v>7309.3747825634055</v>
      </c>
      <c r="L125" s="212">
        <f t="shared" si="38"/>
        <v>1273.1429264269136</v>
      </c>
      <c r="M125" s="209">
        <f t="shared" si="26"/>
        <v>42.907723131392949</v>
      </c>
      <c r="N125" s="210">
        <f t="shared" si="27"/>
        <v>1316.0506495583065</v>
      </c>
      <c r="O125" s="209">
        <v>0</v>
      </c>
      <c r="P125" s="209">
        <v>0</v>
      </c>
      <c r="Q125" s="209">
        <v>0</v>
      </c>
      <c r="R125" s="210">
        <f t="shared" si="28"/>
        <v>1316.0506495583065</v>
      </c>
    </row>
    <row r="126" spans="1:18" x14ac:dyDescent="0.25">
      <c r="A126" s="162">
        <v>11</v>
      </c>
      <c r="B126" s="201">
        <f t="shared" si="35"/>
        <v>44136</v>
      </c>
      <c r="C126" s="225">
        <f t="shared" si="37"/>
        <v>44168</v>
      </c>
      <c r="D126" s="225">
        <f t="shared" si="37"/>
        <v>44189</v>
      </c>
      <c r="E126" s="54" t="s">
        <v>13</v>
      </c>
      <c r="F126" s="162">
        <v>9</v>
      </c>
      <c r="G126" s="204">
        <v>763</v>
      </c>
      <c r="H126" s="205">
        <f t="shared" si="25"/>
        <v>10.251577535152041</v>
      </c>
      <c r="I126" s="205">
        <f t="shared" si="34"/>
        <v>12.037191737714332</v>
      </c>
      <c r="J126" s="206">
        <f t="shared" si="36"/>
        <v>9184.3772958760346</v>
      </c>
      <c r="K126" s="213">
        <f t="shared" si="30"/>
        <v>7821.9536593210078</v>
      </c>
      <c r="L126" s="212">
        <f t="shared" si="38"/>
        <v>1362.4236365550269</v>
      </c>
      <c r="M126" s="209">
        <f t="shared" si="26"/>
        <v>45.916679872724849</v>
      </c>
      <c r="N126" s="210">
        <f t="shared" si="27"/>
        <v>1408.3403164277518</v>
      </c>
      <c r="O126" s="209">
        <v>0</v>
      </c>
      <c r="P126" s="209">
        <v>0</v>
      </c>
      <c r="Q126" s="209">
        <v>0</v>
      </c>
      <c r="R126" s="210">
        <f t="shared" si="28"/>
        <v>1408.3403164277518</v>
      </c>
    </row>
    <row r="127" spans="1:18" s="229" customFormat="1" x14ac:dyDescent="0.25">
      <c r="A127" s="162">
        <v>12</v>
      </c>
      <c r="B127" s="227">
        <f t="shared" si="35"/>
        <v>44166</v>
      </c>
      <c r="C127" s="230">
        <f t="shared" si="37"/>
        <v>44202</v>
      </c>
      <c r="D127" s="230">
        <f t="shared" si="37"/>
        <v>44221</v>
      </c>
      <c r="E127" s="228" t="s">
        <v>13</v>
      </c>
      <c r="F127" s="173">
        <v>9</v>
      </c>
      <c r="G127" s="216">
        <v>988</v>
      </c>
      <c r="H127" s="217">
        <f t="shared" si="25"/>
        <v>10.251577535152041</v>
      </c>
      <c r="I127" s="217">
        <f t="shared" si="34"/>
        <v>12.037191737714332</v>
      </c>
      <c r="J127" s="218">
        <f t="shared" si="36"/>
        <v>11892.74543686176</v>
      </c>
      <c r="K127" s="219">
        <f t="shared" si="30"/>
        <v>10128.558604730217</v>
      </c>
      <c r="L127" s="220">
        <f t="shared" si="38"/>
        <v>1764.1868321315433</v>
      </c>
      <c r="M127" s="209">
        <f t="shared" si="26"/>
        <v>59.456985208718407</v>
      </c>
      <c r="N127" s="210">
        <f t="shared" si="27"/>
        <v>1823.6438173402616</v>
      </c>
      <c r="O127" s="209">
        <v>0</v>
      </c>
      <c r="P127" s="209">
        <v>0</v>
      </c>
      <c r="Q127" s="209">
        <v>0</v>
      </c>
      <c r="R127" s="210">
        <f t="shared" si="28"/>
        <v>1823.6438173402616</v>
      </c>
    </row>
    <row r="128" spans="1:18" x14ac:dyDescent="0.25">
      <c r="A128" s="125">
        <v>1</v>
      </c>
      <c r="B128" s="201">
        <f t="shared" si="35"/>
        <v>43831</v>
      </c>
      <c r="C128" s="225">
        <f t="shared" si="37"/>
        <v>43866</v>
      </c>
      <c r="D128" s="225">
        <f t="shared" si="37"/>
        <v>43885</v>
      </c>
      <c r="E128" s="203" t="s">
        <v>15</v>
      </c>
      <c r="F128" s="125">
        <v>9</v>
      </c>
      <c r="G128" s="204">
        <v>6</v>
      </c>
      <c r="H128" s="205">
        <f t="shared" si="25"/>
        <v>10.251577535152041</v>
      </c>
      <c r="I128" s="205">
        <f t="shared" ref="I128:I147" si="39">$J$3</f>
        <v>12.037191737714332</v>
      </c>
      <c r="J128" s="206">
        <f t="shared" si="36"/>
        <v>72.223150426285997</v>
      </c>
      <c r="K128" s="207">
        <f t="shared" si="30"/>
        <v>61.509465210912246</v>
      </c>
      <c r="L128" s="208">
        <f>+J128-K128</f>
        <v>10.713685215373751</v>
      </c>
      <c r="M128" s="209">
        <f t="shared" si="26"/>
        <v>0.36107480895982841</v>
      </c>
      <c r="N128" s="210">
        <f t="shared" si="27"/>
        <v>11.07476002433358</v>
      </c>
      <c r="O128" s="209">
        <v>0</v>
      </c>
      <c r="P128" s="209">
        <v>0</v>
      </c>
      <c r="Q128" s="209">
        <v>0</v>
      </c>
      <c r="R128" s="210">
        <f t="shared" si="28"/>
        <v>11.07476002433358</v>
      </c>
    </row>
    <row r="129" spans="1:18" x14ac:dyDescent="0.25">
      <c r="A129" s="162">
        <v>2</v>
      </c>
      <c r="B129" s="201">
        <f t="shared" si="35"/>
        <v>43862</v>
      </c>
      <c r="C129" s="225">
        <f t="shared" si="37"/>
        <v>43894</v>
      </c>
      <c r="D129" s="225">
        <f t="shared" si="37"/>
        <v>43914</v>
      </c>
      <c r="E129" s="211" t="s">
        <v>15</v>
      </c>
      <c r="F129" s="162">
        <v>9</v>
      </c>
      <c r="G129" s="204">
        <v>5</v>
      </c>
      <c r="H129" s="205">
        <f t="shared" si="25"/>
        <v>10.251577535152041</v>
      </c>
      <c r="I129" s="205">
        <f t="shared" si="39"/>
        <v>12.037191737714332</v>
      </c>
      <c r="J129" s="206">
        <f t="shared" si="36"/>
        <v>60.18595868857166</v>
      </c>
      <c r="K129" s="207">
        <f t="shared" si="30"/>
        <v>51.257887675760202</v>
      </c>
      <c r="L129" s="208">
        <f>+J129-K129</f>
        <v>8.9280710128114578</v>
      </c>
      <c r="M129" s="209">
        <f t="shared" si="26"/>
        <v>0.30089567413319035</v>
      </c>
      <c r="N129" s="210">
        <f t="shared" si="27"/>
        <v>9.2289666869446485</v>
      </c>
      <c r="O129" s="209">
        <v>0</v>
      </c>
      <c r="P129" s="209">
        <v>0</v>
      </c>
      <c r="Q129" s="209">
        <v>0</v>
      </c>
      <c r="R129" s="210">
        <f t="shared" si="28"/>
        <v>9.2289666869446485</v>
      </c>
    </row>
    <row r="130" spans="1:18" x14ac:dyDescent="0.25">
      <c r="A130" s="162">
        <v>3</v>
      </c>
      <c r="B130" s="201">
        <f t="shared" si="35"/>
        <v>43891</v>
      </c>
      <c r="C130" s="225">
        <f t="shared" si="37"/>
        <v>43924</v>
      </c>
      <c r="D130" s="225">
        <f t="shared" si="37"/>
        <v>43945</v>
      </c>
      <c r="E130" s="211" t="s">
        <v>15</v>
      </c>
      <c r="F130" s="162">
        <v>9</v>
      </c>
      <c r="G130" s="204">
        <v>4</v>
      </c>
      <c r="H130" s="205">
        <f t="shared" si="25"/>
        <v>10.251577535152041</v>
      </c>
      <c r="I130" s="205">
        <f t="shared" si="39"/>
        <v>12.037191737714332</v>
      </c>
      <c r="J130" s="206">
        <f t="shared" si="36"/>
        <v>48.148766950857329</v>
      </c>
      <c r="K130" s="207">
        <f t="shared" si="30"/>
        <v>41.006310140608164</v>
      </c>
      <c r="L130" s="208">
        <f>+J130-K130</f>
        <v>7.1424568102491648</v>
      </c>
      <c r="M130" s="209">
        <f t="shared" si="26"/>
        <v>0.24071653930655229</v>
      </c>
      <c r="N130" s="210">
        <f t="shared" si="27"/>
        <v>7.383173349555717</v>
      </c>
      <c r="O130" s="209">
        <v>0</v>
      </c>
      <c r="P130" s="209">
        <v>0</v>
      </c>
      <c r="Q130" s="209">
        <v>0</v>
      </c>
      <c r="R130" s="210">
        <f t="shared" si="28"/>
        <v>7.383173349555717</v>
      </c>
    </row>
    <row r="131" spans="1:18" x14ac:dyDescent="0.25">
      <c r="A131" s="125">
        <v>4</v>
      </c>
      <c r="B131" s="201">
        <f t="shared" si="35"/>
        <v>43922</v>
      </c>
      <c r="C131" s="225">
        <f t="shared" si="37"/>
        <v>43956</v>
      </c>
      <c r="D131" s="225">
        <f t="shared" si="37"/>
        <v>43976</v>
      </c>
      <c r="E131" s="211" t="s">
        <v>15</v>
      </c>
      <c r="F131" s="162">
        <v>9</v>
      </c>
      <c r="G131" s="204">
        <v>7</v>
      </c>
      <c r="H131" s="205">
        <f t="shared" si="25"/>
        <v>10.251577535152041</v>
      </c>
      <c r="I131" s="205">
        <f t="shared" si="39"/>
        <v>12.037191737714332</v>
      </c>
      <c r="J131" s="206">
        <f t="shared" si="36"/>
        <v>84.260342164000321</v>
      </c>
      <c r="K131" s="207">
        <f t="shared" si="30"/>
        <v>71.761042746064291</v>
      </c>
      <c r="L131" s="208">
        <f t="shared" ref="L131:L141" si="40">+J131-K131</f>
        <v>12.499299417936029</v>
      </c>
      <c r="M131" s="209">
        <f t="shared" si="26"/>
        <v>0.42125394378646647</v>
      </c>
      <c r="N131" s="210">
        <f t="shared" si="27"/>
        <v>12.920553361722495</v>
      </c>
      <c r="O131" s="209">
        <v>0</v>
      </c>
      <c r="P131" s="209">
        <v>0</v>
      </c>
      <c r="Q131" s="209">
        <v>0</v>
      </c>
      <c r="R131" s="210">
        <f t="shared" si="28"/>
        <v>12.920553361722495</v>
      </c>
    </row>
    <row r="132" spans="1:18" x14ac:dyDescent="0.25">
      <c r="A132" s="162">
        <v>5</v>
      </c>
      <c r="B132" s="201">
        <f t="shared" si="35"/>
        <v>43952</v>
      </c>
      <c r="C132" s="225">
        <f t="shared" si="37"/>
        <v>43985</v>
      </c>
      <c r="D132" s="225">
        <f t="shared" si="37"/>
        <v>44006</v>
      </c>
      <c r="E132" s="54" t="s">
        <v>15</v>
      </c>
      <c r="F132" s="162">
        <v>9</v>
      </c>
      <c r="G132" s="204">
        <v>11</v>
      </c>
      <c r="H132" s="205">
        <f t="shared" si="25"/>
        <v>10.251577535152041</v>
      </c>
      <c r="I132" s="205">
        <f t="shared" si="39"/>
        <v>12.037191737714332</v>
      </c>
      <c r="J132" s="206">
        <f t="shared" si="36"/>
        <v>132.40910911485764</v>
      </c>
      <c r="K132" s="207">
        <f t="shared" si="30"/>
        <v>112.76735288667246</v>
      </c>
      <c r="L132" s="208">
        <f t="shared" si="40"/>
        <v>19.641756228185187</v>
      </c>
      <c r="M132" s="209">
        <f t="shared" si="26"/>
        <v>0.66197048309301876</v>
      </c>
      <c r="N132" s="210">
        <f t="shared" si="27"/>
        <v>20.303726711278205</v>
      </c>
      <c r="O132" s="209">
        <v>0</v>
      </c>
      <c r="P132" s="209">
        <v>0</v>
      </c>
      <c r="Q132" s="209">
        <v>0</v>
      </c>
      <c r="R132" s="210">
        <f t="shared" si="28"/>
        <v>20.303726711278205</v>
      </c>
    </row>
    <row r="133" spans="1:18" x14ac:dyDescent="0.25">
      <c r="A133" s="162">
        <v>6</v>
      </c>
      <c r="B133" s="201">
        <f t="shared" si="35"/>
        <v>43983</v>
      </c>
      <c r="C133" s="225">
        <f t="shared" si="37"/>
        <v>44015</v>
      </c>
      <c r="D133" s="225">
        <f t="shared" si="37"/>
        <v>44036</v>
      </c>
      <c r="E133" s="54" t="s">
        <v>15</v>
      </c>
      <c r="F133" s="162">
        <v>9</v>
      </c>
      <c r="G133" s="204">
        <v>12</v>
      </c>
      <c r="H133" s="205">
        <f t="shared" si="25"/>
        <v>10.251577535152041</v>
      </c>
      <c r="I133" s="205">
        <f t="shared" si="39"/>
        <v>12.037191737714332</v>
      </c>
      <c r="J133" s="206">
        <f t="shared" si="36"/>
        <v>144.44630085257199</v>
      </c>
      <c r="K133" s="207">
        <f t="shared" si="30"/>
        <v>123.01893042182449</v>
      </c>
      <c r="L133" s="212">
        <f t="shared" si="40"/>
        <v>21.427370430747501</v>
      </c>
      <c r="M133" s="209">
        <f t="shared" si="26"/>
        <v>0.72214961791965682</v>
      </c>
      <c r="N133" s="210">
        <f t="shared" si="27"/>
        <v>22.14952004866716</v>
      </c>
      <c r="O133" s="209">
        <v>0</v>
      </c>
      <c r="P133" s="209">
        <v>0</v>
      </c>
      <c r="Q133" s="209">
        <v>0</v>
      </c>
      <c r="R133" s="210">
        <f t="shared" si="28"/>
        <v>22.14952004866716</v>
      </c>
    </row>
    <row r="134" spans="1:18" x14ac:dyDescent="0.25">
      <c r="A134" s="125">
        <v>7</v>
      </c>
      <c r="B134" s="201">
        <f t="shared" si="35"/>
        <v>44013</v>
      </c>
      <c r="C134" s="225">
        <f t="shared" si="37"/>
        <v>44048</v>
      </c>
      <c r="D134" s="225">
        <f t="shared" si="37"/>
        <v>44067</v>
      </c>
      <c r="E134" s="54" t="s">
        <v>15</v>
      </c>
      <c r="F134" s="162">
        <v>9</v>
      </c>
      <c r="G134" s="204">
        <v>18</v>
      </c>
      <c r="H134" s="205">
        <f t="shared" si="25"/>
        <v>10.251577535152041</v>
      </c>
      <c r="I134" s="205">
        <f t="shared" si="39"/>
        <v>12.037191737714332</v>
      </c>
      <c r="J134" s="206">
        <f t="shared" si="36"/>
        <v>216.66945127885799</v>
      </c>
      <c r="K134" s="213">
        <f t="shared" ref="K134:K197" si="41">+$G134*H134</f>
        <v>184.52839563273673</v>
      </c>
      <c r="L134" s="212">
        <f t="shared" si="40"/>
        <v>32.141055646121259</v>
      </c>
      <c r="M134" s="209">
        <f t="shared" si="26"/>
        <v>1.0832244268794853</v>
      </c>
      <c r="N134" s="210">
        <f t="shared" si="27"/>
        <v>33.224280073000742</v>
      </c>
      <c r="O134" s="209">
        <v>0</v>
      </c>
      <c r="P134" s="209">
        <v>0</v>
      </c>
      <c r="Q134" s="209">
        <v>0</v>
      </c>
      <c r="R134" s="210">
        <f t="shared" si="28"/>
        <v>33.224280073000742</v>
      </c>
    </row>
    <row r="135" spans="1:18" x14ac:dyDescent="0.25">
      <c r="A135" s="162">
        <v>8</v>
      </c>
      <c r="B135" s="201">
        <f t="shared" si="35"/>
        <v>44044</v>
      </c>
      <c r="C135" s="225">
        <f t="shared" si="37"/>
        <v>44077</v>
      </c>
      <c r="D135" s="225">
        <f t="shared" si="37"/>
        <v>44098</v>
      </c>
      <c r="E135" s="54" t="s">
        <v>15</v>
      </c>
      <c r="F135" s="162">
        <v>9</v>
      </c>
      <c r="G135" s="204">
        <v>16</v>
      </c>
      <c r="H135" s="205">
        <f t="shared" si="25"/>
        <v>10.251577535152041</v>
      </c>
      <c r="I135" s="205">
        <f t="shared" si="39"/>
        <v>12.037191737714332</v>
      </c>
      <c r="J135" s="206">
        <f t="shared" si="36"/>
        <v>192.59506780342932</v>
      </c>
      <c r="K135" s="213">
        <f t="shared" si="41"/>
        <v>164.02524056243266</v>
      </c>
      <c r="L135" s="212">
        <f t="shared" si="40"/>
        <v>28.569827240996659</v>
      </c>
      <c r="M135" s="209">
        <f t="shared" si="26"/>
        <v>0.96286615722620916</v>
      </c>
      <c r="N135" s="210">
        <f t="shared" si="27"/>
        <v>29.532693398222868</v>
      </c>
      <c r="O135" s="209">
        <v>0</v>
      </c>
      <c r="P135" s="209">
        <v>0</v>
      </c>
      <c r="Q135" s="209">
        <v>0</v>
      </c>
      <c r="R135" s="210">
        <f t="shared" si="28"/>
        <v>29.532693398222868</v>
      </c>
    </row>
    <row r="136" spans="1:18" x14ac:dyDescent="0.25">
      <c r="A136" s="162">
        <v>9</v>
      </c>
      <c r="B136" s="201">
        <f t="shared" si="35"/>
        <v>44075</v>
      </c>
      <c r="C136" s="225">
        <f t="shared" si="37"/>
        <v>44109</v>
      </c>
      <c r="D136" s="225">
        <f t="shared" si="37"/>
        <v>44130</v>
      </c>
      <c r="E136" s="54" t="s">
        <v>15</v>
      </c>
      <c r="F136" s="162">
        <v>9</v>
      </c>
      <c r="G136" s="204">
        <v>6</v>
      </c>
      <c r="H136" s="205">
        <f t="shared" si="25"/>
        <v>10.251577535152041</v>
      </c>
      <c r="I136" s="205">
        <f t="shared" si="39"/>
        <v>12.037191737714332</v>
      </c>
      <c r="J136" s="206">
        <f t="shared" si="36"/>
        <v>72.223150426285997</v>
      </c>
      <c r="K136" s="213">
        <f t="shared" si="41"/>
        <v>61.509465210912246</v>
      </c>
      <c r="L136" s="212">
        <f t="shared" si="40"/>
        <v>10.713685215373751</v>
      </c>
      <c r="M136" s="209">
        <f t="shared" si="26"/>
        <v>0.36107480895982841</v>
      </c>
      <c r="N136" s="210">
        <f t="shared" si="27"/>
        <v>11.07476002433358</v>
      </c>
      <c r="O136" s="209">
        <v>0</v>
      </c>
      <c r="P136" s="209">
        <v>0</v>
      </c>
      <c r="Q136" s="209">
        <v>0</v>
      </c>
      <c r="R136" s="210">
        <f t="shared" si="28"/>
        <v>11.07476002433358</v>
      </c>
    </row>
    <row r="137" spans="1:18" x14ac:dyDescent="0.25">
      <c r="A137" s="125">
        <v>10</v>
      </c>
      <c r="B137" s="201">
        <f t="shared" si="35"/>
        <v>44105</v>
      </c>
      <c r="C137" s="225">
        <f t="shared" si="37"/>
        <v>44139</v>
      </c>
      <c r="D137" s="225">
        <f t="shared" si="37"/>
        <v>44159</v>
      </c>
      <c r="E137" s="54" t="s">
        <v>15</v>
      </c>
      <c r="F137" s="162">
        <v>9</v>
      </c>
      <c r="G137" s="204">
        <v>7</v>
      </c>
      <c r="H137" s="205">
        <f t="shared" si="25"/>
        <v>10.251577535152041</v>
      </c>
      <c r="I137" s="205">
        <f t="shared" si="39"/>
        <v>12.037191737714332</v>
      </c>
      <c r="J137" s="206">
        <f t="shared" si="36"/>
        <v>84.260342164000321</v>
      </c>
      <c r="K137" s="213">
        <f t="shared" si="41"/>
        <v>71.761042746064291</v>
      </c>
      <c r="L137" s="212">
        <f t="shared" si="40"/>
        <v>12.499299417936029</v>
      </c>
      <c r="M137" s="209">
        <f t="shared" si="26"/>
        <v>0.42125394378646647</v>
      </c>
      <c r="N137" s="210">
        <f t="shared" si="27"/>
        <v>12.920553361722495</v>
      </c>
      <c r="O137" s="209">
        <v>0</v>
      </c>
      <c r="P137" s="209">
        <v>0</v>
      </c>
      <c r="Q137" s="209">
        <v>0</v>
      </c>
      <c r="R137" s="210">
        <f t="shared" si="28"/>
        <v>12.920553361722495</v>
      </c>
    </row>
    <row r="138" spans="1:18" x14ac:dyDescent="0.25">
      <c r="A138" s="162">
        <v>11</v>
      </c>
      <c r="B138" s="201">
        <f t="shared" si="35"/>
        <v>44136</v>
      </c>
      <c r="C138" s="225">
        <f t="shared" si="37"/>
        <v>44168</v>
      </c>
      <c r="D138" s="225">
        <f t="shared" si="37"/>
        <v>44189</v>
      </c>
      <c r="E138" s="54" t="s">
        <v>15</v>
      </c>
      <c r="F138" s="162">
        <v>9</v>
      </c>
      <c r="G138" s="204">
        <v>6</v>
      </c>
      <c r="H138" s="205">
        <f t="shared" si="25"/>
        <v>10.251577535152041</v>
      </c>
      <c r="I138" s="205">
        <f t="shared" si="39"/>
        <v>12.037191737714332</v>
      </c>
      <c r="J138" s="206">
        <f t="shared" si="36"/>
        <v>72.223150426285997</v>
      </c>
      <c r="K138" s="213">
        <f t="shared" si="41"/>
        <v>61.509465210912246</v>
      </c>
      <c r="L138" s="212">
        <f t="shared" si="40"/>
        <v>10.713685215373751</v>
      </c>
      <c r="M138" s="209">
        <f t="shared" si="26"/>
        <v>0.36107480895982841</v>
      </c>
      <c r="N138" s="210">
        <f t="shared" si="27"/>
        <v>11.07476002433358</v>
      </c>
      <c r="O138" s="209">
        <v>0</v>
      </c>
      <c r="P138" s="209">
        <v>0</v>
      </c>
      <c r="Q138" s="209">
        <v>0</v>
      </c>
      <c r="R138" s="210">
        <f t="shared" si="28"/>
        <v>11.07476002433358</v>
      </c>
    </row>
    <row r="139" spans="1:18" s="229" customFormat="1" x14ac:dyDescent="0.25">
      <c r="A139" s="162">
        <v>12</v>
      </c>
      <c r="B139" s="227">
        <f t="shared" si="35"/>
        <v>44166</v>
      </c>
      <c r="C139" s="225">
        <f t="shared" si="37"/>
        <v>44202</v>
      </c>
      <c r="D139" s="225">
        <f t="shared" si="37"/>
        <v>44221</v>
      </c>
      <c r="E139" s="228" t="s">
        <v>15</v>
      </c>
      <c r="F139" s="173">
        <v>9</v>
      </c>
      <c r="G139" s="216">
        <v>8</v>
      </c>
      <c r="H139" s="217">
        <f t="shared" si="25"/>
        <v>10.251577535152041</v>
      </c>
      <c r="I139" s="217">
        <f t="shared" si="39"/>
        <v>12.037191737714332</v>
      </c>
      <c r="J139" s="218">
        <f t="shared" si="36"/>
        <v>96.297533901714658</v>
      </c>
      <c r="K139" s="219">
        <f t="shared" si="41"/>
        <v>82.012620281216329</v>
      </c>
      <c r="L139" s="220">
        <f t="shared" si="40"/>
        <v>14.28491362049833</v>
      </c>
      <c r="M139" s="209">
        <f t="shared" si="26"/>
        <v>0.48143307861310458</v>
      </c>
      <c r="N139" s="210">
        <f t="shared" si="27"/>
        <v>14.766346699111434</v>
      </c>
      <c r="O139" s="209">
        <v>0</v>
      </c>
      <c r="P139" s="209">
        <v>0</v>
      </c>
      <c r="Q139" s="209">
        <v>0</v>
      </c>
      <c r="R139" s="210">
        <f t="shared" si="28"/>
        <v>14.766346699111434</v>
      </c>
    </row>
    <row r="140" spans="1:18" x14ac:dyDescent="0.25">
      <c r="A140" s="125">
        <v>1</v>
      </c>
      <c r="B140" s="201">
        <f t="shared" si="35"/>
        <v>43831</v>
      </c>
      <c r="C140" s="222">
        <f t="shared" ref="C140:D151" si="42">+C128</f>
        <v>43866</v>
      </c>
      <c r="D140" s="222">
        <f t="shared" si="42"/>
        <v>43885</v>
      </c>
      <c r="E140" s="232" t="s">
        <v>16</v>
      </c>
      <c r="F140" s="162">
        <v>9</v>
      </c>
      <c r="G140" s="204">
        <v>2</v>
      </c>
      <c r="H140" s="205">
        <f t="shared" si="25"/>
        <v>10.251577535152041</v>
      </c>
      <c r="I140" s="205">
        <f t="shared" si="39"/>
        <v>12.037191737714332</v>
      </c>
      <c r="J140" s="206">
        <f t="shared" si="36"/>
        <v>24.074383475428665</v>
      </c>
      <c r="K140" s="207">
        <f t="shared" si="41"/>
        <v>20.503155070304082</v>
      </c>
      <c r="L140" s="208">
        <f t="shared" si="40"/>
        <v>3.5712284051245824</v>
      </c>
      <c r="M140" s="209">
        <f t="shared" si="26"/>
        <v>0.12035826965327615</v>
      </c>
      <c r="N140" s="210">
        <f t="shared" si="27"/>
        <v>3.6915866747778585</v>
      </c>
      <c r="O140" s="209">
        <v>0</v>
      </c>
      <c r="P140" s="209">
        <v>0</v>
      </c>
      <c r="Q140" s="209">
        <v>0</v>
      </c>
      <c r="R140" s="210">
        <f t="shared" si="28"/>
        <v>3.6915866747778585</v>
      </c>
    </row>
    <row r="141" spans="1:18" x14ac:dyDescent="0.25">
      <c r="A141" s="162">
        <v>2</v>
      </c>
      <c r="B141" s="201">
        <f t="shared" si="35"/>
        <v>43862</v>
      </c>
      <c r="C141" s="225">
        <f t="shared" si="42"/>
        <v>43894</v>
      </c>
      <c r="D141" s="225">
        <f t="shared" si="42"/>
        <v>43914</v>
      </c>
      <c r="E141" s="54" t="s">
        <v>16</v>
      </c>
      <c r="F141" s="162">
        <v>9</v>
      </c>
      <c r="G141" s="204">
        <v>3</v>
      </c>
      <c r="H141" s="205">
        <f t="shared" si="25"/>
        <v>10.251577535152041</v>
      </c>
      <c r="I141" s="205">
        <f t="shared" si="39"/>
        <v>12.037191737714332</v>
      </c>
      <c r="J141" s="206">
        <f t="shared" si="36"/>
        <v>36.111575213142999</v>
      </c>
      <c r="K141" s="207">
        <f t="shared" si="41"/>
        <v>30.754732605456123</v>
      </c>
      <c r="L141" s="208">
        <f t="shared" si="40"/>
        <v>5.3568426076868754</v>
      </c>
      <c r="M141" s="209">
        <f t="shared" si="26"/>
        <v>0.1805374044799142</v>
      </c>
      <c r="N141" s="210">
        <f t="shared" si="27"/>
        <v>5.53738001216679</v>
      </c>
      <c r="O141" s="209">
        <v>0</v>
      </c>
      <c r="P141" s="209">
        <v>0</v>
      </c>
      <c r="Q141" s="209">
        <v>0</v>
      </c>
      <c r="R141" s="210">
        <f t="shared" si="28"/>
        <v>5.53738001216679</v>
      </c>
    </row>
    <row r="142" spans="1:18" x14ac:dyDescent="0.25">
      <c r="A142" s="162">
        <v>3</v>
      </c>
      <c r="B142" s="201">
        <f t="shared" si="35"/>
        <v>43891</v>
      </c>
      <c r="C142" s="225">
        <f t="shared" si="42"/>
        <v>43924</v>
      </c>
      <c r="D142" s="225">
        <f t="shared" si="42"/>
        <v>43945</v>
      </c>
      <c r="E142" s="54" t="s">
        <v>16</v>
      </c>
      <c r="F142" s="162">
        <v>9</v>
      </c>
      <c r="G142" s="204">
        <v>1</v>
      </c>
      <c r="H142" s="205">
        <f t="shared" si="25"/>
        <v>10.251577535152041</v>
      </c>
      <c r="I142" s="205">
        <f t="shared" si="39"/>
        <v>12.037191737714332</v>
      </c>
      <c r="J142" s="206">
        <f t="shared" si="36"/>
        <v>12.037191737714332</v>
      </c>
      <c r="K142" s="207">
        <f t="shared" si="41"/>
        <v>10.251577535152041</v>
      </c>
      <c r="L142" s="208">
        <f>+J142-K142</f>
        <v>1.7856142025622912</v>
      </c>
      <c r="M142" s="209">
        <f t="shared" si="26"/>
        <v>6.0179134826638073E-2</v>
      </c>
      <c r="N142" s="210">
        <f t="shared" si="27"/>
        <v>1.8457933373889293</v>
      </c>
      <c r="O142" s="209">
        <v>0</v>
      </c>
      <c r="P142" s="209">
        <v>0</v>
      </c>
      <c r="Q142" s="209">
        <v>0</v>
      </c>
      <c r="R142" s="210">
        <f t="shared" si="28"/>
        <v>1.8457933373889293</v>
      </c>
    </row>
    <row r="143" spans="1:18" x14ac:dyDescent="0.25">
      <c r="A143" s="125">
        <v>4</v>
      </c>
      <c r="B143" s="201">
        <f t="shared" si="35"/>
        <v>43922</v>
      </c>
      <c r="C143" s="225">
        <f t="shared" si="42"/>
        <v>43956</v>
      </c>
      <c r="D143" s="225">
        <f t="shared" si="42"/>
        <v>43976</v>
      </c>
      <c r="E143" s="54" t="s">
        <v>16</v>
      </c>
      <c r="F143" s="162">
        <v>9</v>
      </c>
      <c r="G143" s="204">
        <v>2</v>
      </c>
      <c r="H143" s="205">
        <f t="shared" si="25"/>
        <v>10.251577535152041</v>
      </c>
      <c r="I143" s="205">
        <f t="shared" si="39"/>
        <v>12.037191737714332</v>
      </c>
      <c r="J143" s="206">
        <f t="shared" si="36"/>
        <v>24.074383475428665</v>
      </c>
      <c r="K143" s="207">
        <f t="shared" si="41"/>
        <v>20.503155070304082</v>
      </c>
      <c r="L143" s="208">
        <f t="shared" ref="L143:L153" si="43">+J143-K143</f>
        <v>3.5712284051245824</v>
      </c>
      <c r="M143" s="209">
        <f t="shared" si="26"/>
        <v>0.12035826965327615</v>
      </c>
      <c r="N143" s="210">
        <f t="shared" si="27"/>
        <v>3.6915866747778585</v>
      </c>
      <c r="O143" s="209">
        <v>0</v>
      </c>
      <c r="P143" s="209">
        <v>0</v>
      </c>
      <c r="Q143" s="209">
        <v>0</v>
      </c>
      <c r="R143" s="210">
        <f t="shared" si="28"/>
        <v>3.6915866747778585</v>
      </c>
    </row>
    <row r="144" spans="1:18" x14ac:dyDescent="0.25">
      <c r="A144" s="162">
        <v>5</v>
      </c>
      <c r="B144" s="201">
        <f t="shared" si="35"/>
        <v>43952</v>
      </c>
      <c r="C144" s="225">
        <f t="shared" si="42"/>
        <v>43985</v>
      </c>
      <c r="D144" s="225">
        <f t="shared" si="42"/>
        <v>44006</v>
      </c>
      <c r="E144" s="54" t="s">
        <v>16</v>
      </c>
      <c r="F144" s="162">
        <v>9</v>
      </c>
      <c r="G144" s="204">
        <v>2</v>
      </c>
      <c r="H144" s="205">
        <f t="shared" si="25"/>
        <v>10.251577535152041</v>
      </c>
      <c r="I144" s="205">
        <f t="shared" si="39"/>
        <v>12.037191737714332</v>
      </c>
      <c r="J144" s="206">
        <f t="shared" si="36"/>
        <v>24.074383475428665</v>
      </c>
      <c r="K144" s="207">
        <f t="shared" si="41"/>
        <v>20.503155070304082</v>
      </c>
      <c r="L144" s="208">
        <f t="shared" si="43"/>
        <v>3.5712284051245824</v>
      </c>
      <c r="M144" s="209">
        <f t="shared" si="26"/>
        <v>0.12035826965327615</v>
      </c>
      <c r="N144" s="210">
        <f t="shared" si="27"/>
        <v>3.6915866747778585</v>
      </c>
      <c r="O144" s="209">
        <v>0</v>
      </c>
      <c r="P144" s="209">
        <v>0</v>
      </c>
      <c r="Q144" s="209">
        <v>0</v>
      </c>
      <c r="R144" s="210">
        <f t="shared" si="28"/>
        <v>3.6915866747778585</v>
      </c>
    </row>
    <row r="145" spans="1:19" x14ac:dyDescent="0.25">
      <c r="A145" s="162">
        <v>6</v>
      </c>
      <c r="B145" s="201">
        <f t="shared" si="35"/>
        <v>43983</v>
      </c>
      <c r="C145" s="225">
        <f t="shared" si="42"/>
        <v>44015</v>
      </c>
      <c r="D145" s="225">
        <f t="shared" si="42"/>
        <v>44036</v>
      </c>
      <c r="E145" s="54" t="s">
        <v>16</v>
      </c>
      <c r="F145" s="162">
        <v>9</v>
      </c>
      <c r="G145" s="204">
        <v>4</v>
      </c>
      <c r="H145" s="205">
        <f t="shared" si="25"/>
        <v>10.251577535152041</v>
      </c>
      <c r="I145" s="205">
        <f t="shared" si="39"/>
        <v>12.037191737714332</v>
      </c>
      <c r="J145" s="206">
        <f t="shared" si="36"/>
        <v>48.148766950857329</v>
      </c>
      <c r="K145" s="207">
        <f t="shared" si="41"/>
        <v>41.006310140608164</v>
      </c>
      <c r="L145" s="212">
        <f t="shared" si="43"/>
        <v>7.1424568102491648</v>
      </c>
      <c r="M145" s="209">
        <f t="shared" si="26"/>
        <v>0.24071653930655229</v>
      </c>
      <c r="N145" s="210">
        <f t="shared" si="27"/>
        <v>7.383173349555717</v>
      </c>
      <c r="O145" s="209">
        <v>0</v>
      </c>
      <c r="P145" s="209">
        <v>0</v>
      </c>
      <c r="Q145" s="209">
        <v>0</v>
      </c>
      <c r="R145" s="210">
        <f t="shared" si="28"/>
        <v>7.383173349555717</v>
      </c>
    </row>
    <row r="146" spans="1:19" x14ac:dyDescent="0.25">
      <c r="A146" s="125">
        <v>7</v>
      </c>
      <c r="B146" s="201">
        <f t="shared" si="35"/>
        <v>44013</v>
      </c>
      <c r="C146" s="225">
        <f t="shared" si="42"/>
        <v>44048</v>
      </c>
      <c r="D146" s="225">
        <f t="shared" si="42"/>
        <v>44067</v>
      </c>
      <c r="E146" s="54" t="s">
        <v>16</v>
      </c>
      <c r="F146" s="162">
        <v>9</v>
      </c>
      <c r="G146" s="204">
        <v>6</v>
      </c>
      <c r="H146" s="205">
        <f t="shared" si="25"/>
        <v>10.251577535152041</v>
      </c>
      <c r="I146" s="205">
        <f t="shared" si="39"/>
        <v>12.037191737714332</v>
      </c>
      <c r="J146" s="206">
        <f t="shared" si="36"/>
        <v>72.223150426285997</v>
      </c>
      <c r="K146" s="213">
        <f t="shared" si="41"/>
        <v>61.509465210912246</v>
      </c>
      <c r="L146" s="212">
        <f t="shared" si="43"/>
        <v>10.713685215373751</v>
      </c>
      <c r="M146" s="209">
        <f t="shared" si="26"/>
        <v>0.36107480895982841</v>
      </c>
      <c r="N146" s="210">
        <f t="shared" si="27"/>
        <v>11.07476002433358</v>
      </c>
      <c r="O146" s="209">
        <v>0</v>
      </c>
      <c r="P146" s="209">
        <v>0</v>
      </c>
      <c r="Q146" s="209">
        <v>0</v>
      </c>
      <c r="R146" s="210">
        <f t="shared" si="28"/>
        <v>11.07476002433358</v>
      </c>
    </row>
    <row r="147" spans="1:19" x14ac:dyDescent="0.25">
      <c r="A147" s="162">
        <v>8</v>
      </c>
      <c r="B147" s="201">
        <f t="shared" si="35"/>
        <v>44044</v>
      </c>
      <c r="C147" s="225">
        <f t="shared" si="42"/>
        <v>44077</v>
      </c>
      <c r="D147" s="225">
        <f t="shared" si="42"/>
        <v>44098</v>
      </c>
      <c r="E147" s="54" t="s">
        <v>16</v>
      </c>
      <c r="F147" s="162">
        <v>9</v>
      </c>
      <c r="G147" s="204">
        <v>5</v>
      </c>
      <c r="H147" s="205">
        <f t="shared" si="25"/>
        <v>10.251577535152041</v>
      </c>
      <c r="I147" s="205">
        <f t="shared" si="39"/>
        <v>12.037191737714332</v>
      </c>
      <c r="J147" s="206">
        <f t="shared" si="36"/>
        <v>60.18595868857166</v>
      </c>
      <c r="K147" s="213">
        <f t="shared" si="41"/>
        <v>51.257887675760202</v>
      </c>
      <c r="L147" s="212">
        <f t="shared" si="43"/>
        <v>8.9280710128114578</v>
      </c>
      <c r="M147" s="209">
        <f t="shared" si="26"/>
        <v>0.30089567413319035</v>
      </c>
      <c r="N147" s="210">
        <f t="shared" si="27"/>
        <v>9.2289666869446485</v>
      </c>
      <c r="O147" s="209">
        <v>0</v>
      </c>
      <c r="P147" s="209">
        <v>0</v>
      </c>
      <c r="Q147" s="209">
        <v>0</v>
      </c>
      <c r="R147" s="210">
        <f t="shared" si="28"/>
        <v>9.2289666869446485</v>
      </c>
    </row>
    <row r="148" spans="1:19" x14ac:dyDescent="0.25">
      <c r="A148" s="162">
        <v>9</v>
      </c>
      <c r="B148" s="201">
        <f t="shared" si="35"/>
        <v>44075</v>
      </c>
      <c r="C148" s="225">
        <f t="shared" si="42"/>
        <v>44109</v>
      </c>
      <c r="D148" s="225">
        <f t="shared" si="42"/>
        <v>44130</v>
      </c>
      <c r="E148" s="54" t="s">
        <v>16</v>
      </c>
      <c r="F148" s="162">
        <v>9</v>
      </c>
      <c r="G148" s="204">
        <v>2</v>
      </c>
      <c r="H148" s="205">
        <f t="shared" si="25"/>
        <v>10.251577535152041</v>
      </c>
      <c r="I148" s="205">
        <f t="shared" ref="I148:I179" si="44">$J$3</f>
        <v>12.037191737714332</v>
      </c>
      <c r="J148" s="206">
        <f t="shared" si="36"/>
        <v>24.074383475428665</v>
      </c>
      <c r="K148" s="213">
        <f t="shared" si="41"/>
        <v>20.503155070304082</v>
      </c>
      <c r="L148" s="212">
        <f t="shared" si="43"/>
        <v>3.5712284051245824</v>
      </c>
      <c r="M148" s="209">
        <f t="shared" si="26"/>
        <v>0.12035826965327615</v>
      </c>
      <c r="N148" s="210">
        <f t="shared" si="27"/>
        <v>3.6915866747778585</v>
      </c>
      <c r="O148" s="209">
        <v>0</v>
      </c>
      <c r="P148" s="209">
        <v>0</v>
      </c>
      <c r="Q148" s="209">
        <v>0</v>
      </c>
      <c r="R148" s="210">
        <f t="shared" si="28"/>
        <v>3.6915866747778585</v>
      </c>
    </row>
    <row r="149" spans="1:19" x14ac:dyDescent="0.25">
      <c r="A149" s="125">
        <v>10</v>
      </c>
      <c r="B149" s="201">
        <f t="shared" ref="B149:B211" si="45">DATE($R$1,A149,1)</f>
        <v>44105</v>
      </c>
      <c r="C149" s="225">
        <f t="shared" si="42"/>
        <v>44139</v>
      </c>
      <c r="D149" s="225">
        <f t="shared" si="42"/>
        <v>44159</v>
      </c>
      <c r="E149" s="54" t="s">
        <v>16</v>
      </c>
      <c r="F149" s="162">
        <v>9</v>
      </c>
      <c r="G149" s="204">
        <v>1</v>
      </c>
      <c r="H149" s="205">
        <f t="shared" ref="H149:H211" si="46">+$K$3</f>
        <v>10.251577535152041</v>
      </c>
      <c r="I149" s="205">
        <f t="shared" si="44"/>
        <v>12.037191737714332</v>
      </c>
      <c r="J149" s="206">
        <f t="shared" ref="J149:J211" si="47">+$G149*I149</f>
        <v>12.037191737714332</v>
      </c>
      <c r="K149" s="213">
        <f t="shared" si="41"/>
        <v>10.251577535152041</v>
      </c>
      <c r="L149" s="212">
        <f t="shared" si="43"/>
        <v>1.7856142025622912</v>
      </c>
      <c r="M149" s="209">
        <f t="shared" ref="M149:M211" si="48">G149/$G$212*$M$14</f>
        <v>6.0179134826638073E-2</v>
      </c>
      <c r="N149" s="210">
        <f t="shared" ref="N149:N211" si="49">SUM(L149:M149)</f>
        <v>1.8457933373889293</v>
      </c>
      <c r="O149" s="209">
        <v>0</v>
      </c>
      <c r="P149" s="209">
        <v>0</v>
      </c>
      <c r="Q149" s="209">
        <v>0</v>
      </c>
      <c r="R149" s="210">
        <f t="shared" ref="R149:R211" si="50">+N149-Q149</f>
        <v>1.8457933373889293</v>
      </c>
    </row>
    <row r="150" spans="1:19" x14ac:dyDescent="0.25">
      <c r="A150" s="162">
        <v>11</v>
      </c>
      <c r="B150" s="201">
        <f t="shared" si="45"/>
        <v>44136</v>
      </c>
      <c r="C150" s="225">
        <f t="shared" si="42"/>
        <v>44168</v>
      </c>
      <c r="D150" s="225">
        <f t="shared" si="42"/>
        <v>44189</v>
      </c>
      <c r="E150" s="54" t="s">
        <v>16</v>
      </c>
      <c r="F150" s="162">
        <v>9</v>
      </c>
      <c r="G150" s="204">
        <v>3</v>
      </c>
      <c r="H150" s="205">
        <f t="shared" si="46"/>
        <v>10.251577535152041</v>
      </c>
      <c r="I150" s="205">
        <f t="shared" si="44"/>
        <v>12.037191737714332</v>
      </c>
      <c r="J150" s="206">
        <f t="shared" si="47"/>
        <v>36.111575213142999</v>
      </c>
      <c r="K150" s="213">
        <f t="shared" si="41"/>
        <v>30.754732605456123</v>
      </c>
      <c r="L150" s="212">
        <f t="shared" si="43"/>
        <v>5.3568426076868754</v>
      </c>
      <c r="M150" s="209">
        <f t="shared" si="48"/>
        <v>0.1805374044799142</v>
      </c>
      <c r="N150" s="210">
        <f t="shared" si="49"/>
        <v>5.53738001216679</v>
      </c>
      <c r="O150" s="209">
        <v>0</v>
      </c>
      <c r="P150" s="209">
        <v>0</v>
      </c>
      <c r="Q150" s="209">
        <v>0</v>
      </c>
      <c r="R150" s="210">
        <f t="shared" si="50"/>
        <v>5.53738001216679</v>
      </c>
    </row>
    <row r="151" spans="1:19" s="229" customFormat="1" x14ac:dyDescent="0.25">
      <c r="A151" s="162">
        <v>12</v>
      </c>
      <c r="B151" s="227">
        <f t="shared" si="45"/>
        <v>44166</v>
      </c>
      <c r="C151" s="225">
        <f t="shared" si="42"/>
        <v>44202</v>
      </c>
      <c r="D151" s="225">
        <f t="shared" si="42"/>
        <v>44221</v>
      </c>
      <c r="E151" s="228" t="s">
        <v>16</v>
      </c>
      <c r="F151" s="173">
        <v>9</v>
      </c>
      <c r="G151" s="216">
        <v>1</v>
      </c>
      <c r="H151" s="217">
        <f t="shared" si="46"/>
        <v>10.251577535152041</v>
      </c>
      <c r="I151" s="217">
        <f t="shared" si="44"/>
        <v>12.037191737714332</v>
      </c>
      <c r="J151" s="218">
        <f t="shared" si="47"/>
        <v>12.037191737714332</v>
      </c>
      <c r="K151" s="219">
        <f t="shared" si="41"/>
        <v>10.251577535152041</v>
      </c>
      <c r="L151" s="220">
        <f t="shared" si="43"/>
        <v>1.7856142025622912</v>
      </c>
      <c r="M151" s="209">
        <f t="shared" si="48"/>
        <v>6.0179134826638073E-2</v>
      </c>
      <c r="N151" s="210">
        <f t="shared" si="49"/>
        <v>1.8457933373889293</v>
      </c>
      <c r="O151" s="209">
        <v>0</v>
      </c>
      <c r="P151" s="209">
        <v>0</v>
      </c>
      <c r="Q151" s="209">
        <v>0</v>
      </c>
      <c r="R151" s="210">
        <f t="shared" si="50"/>
        <v>1.8457933373889293</v>
      </c>
    </row>
    <row r="152" spans="1:19" x14ac:dyDescent="0.25">
      <c r="A152" s="125">
        <v>1</v>
      </c>
      <c r="B152" s="201">
        <f t="shared" si="45"/>
        <v>43831</v>
      </c>
      <c r="C152" s="222">
        <f t="shared" ref="C152:D171" si="51">+C140</f>
        <v>43866</v>
      </c>
      <c r="D152" s="222">
        <f t="shared" si="51"/>
        <v>43885</v>
      </c>
      <c r="E152" s="232" t="s">
        <v>54</v>
      </c>
      <c r="F152" s="125">
        <v>9</v>
      </c>
      <c r="G152" s="204">
        <v>109</v>
      </c>
      <c r="H152" s="205">
        <f t="shared" si="46"/>
        <v>10.251577535152041</v>
      </c>
      <c r="I152" s="205">
        <f t="shared" si="44"/>
        <v>12.037191737714332</v>
      </c>
      <c r="J152" s="206">
        <f t="shared" si="47"/>
        <v>1312.0538994108622</v>
      </c>
      <c r="K152" s="207">
        <f t="shared" si="41"/>
        <v>1117.4219513315725</v>
      </c>
      <c r="L152" s="208">
        <f t="shared" si="43"/>
        <v>194.63194807928971</v>
      </c>
      <c r="M152" s="209">
        <f t="shared" si="48"/>
        <v>6.5595256961035497</v>
      </c>
      <c r="N152" s="210">
        <f t="shared" si="49"/>
        <v>201.19147377539326</v>
      </c>
      <c r="O152" s="209">
        <v>0</v>
      </c>
      <c r="P152" s="209">
        <v>0</v>
      </c>
      <c r="Q152" s="209">
        <v>0</v>
      </c>
      <c r="R152" s="210">
        <f t="shared" si="50"/>
        <v>201.19147377539326</v>
      </c>
    </row>
    <row r="153" spans="1:19" x14ac:dyDescent="0.25">
      <c r="A153" s="162">
        <v>2</v>
      </c>
      <c r="B153" s="201">
        <f t="shared" si="45"/>
        <v>43862</v>
      </c>
      <c r="C153" s="225">
        <f t="shared" si="51"/>
        <v>43894</v>
      </c>
      <c r="D153" s="225">
        <f t="shared" si="51"/>
        <v>43914</v>
      </c>
      <c r="E153" s="233" t="s">
        <v>54</v>
      </c>
      <c r="F153" s="162">
        <v>9</v>
      </c>
      <c r="G153" s="204">
        <v>104</v>
      </c>
      <c r="H153" s="205">
        <f t="shared" si="46"/>
        <v>10.251577535152041</v>
      </c>
      <c r="I153" s="205">
        <f t="shared" si="44"/>
        <v>12.037191737714332</v>
      </c>
      <c r="J153" s="206">
        <f t="shared" si="47"/>
        <v>1251.8679407222905</v>
      </c>
      <c r="K153" s="207">
        <f t="shared" si="41"/>
        <v>1066.1640636558122</v>
      </c>
      <c r="L153" s="208">
        <f t="shared" si="43"/>
        <v>185.7038770664783</v>
      </c>
      <c r="M153" s="209">
        <f t="shared" si="48"/>
        <v>6.2586300219703599</v>
      </c>
      <c r="N153" s="210">
        <f t="shared" si="49"/>
        <v>191.96250708844866</v>
      </c>
      <c r="O153" s="209">
        <v>0</v>
      </c>
      <c r="P153" s="209">
        <v>0</v>
      </c>
      <c r="Q153" s="209">
        <v>0</v>
      </c>
      <c r="R153" s="210">
        <f t="shared" si="50"/>
        <v>191.96250708844866</v>
      </c>
    </row>
    <row r="154" spans="1:19" x14ac:dyDescent="0.25">
      <c r="A154" s="162">
        <v>3</v>
      </c>
      <c r="B154" s="201">
        <f t="shared" si="45"/>
        <v>43891</v>
      </c>
      <c r="C154" s="225">
        <f t="shared" si="51"/>
        <v>43924</v>
      </c>
      <c r="D154" s="225">
        <f t="shared" si="51"/>
        <v>43945</v>
      </c>
      <c r="E154" s="233" t="s">
        <v>54</v>
      </c>
      <c r="F154" s="162">
        <v>9</v>
      </c>
      <c r="G154" s="204">
        <v>87</v>
      </c>
      <c r="H154" s="205">
        <f t="shared" si="46"/>
        <v>10.251577535152041</v>
      </c>
      <c r="I154" s="205">
        <f t="shared" si="44"/>
        <v>12.037191737714332</v>
      </c>
      <c r="J154" s="206">
        <f t="shared" si="47"/>
        <v>1047.2356811811469</v>
      </c>
      <c r="K154" s="207">
        <f t="shared" si="41"/>
        <v>891.88724555822762</v>
      </c>
      <c r="L154" s="208">
        <f>+J154-K154</f>
        <v>155.34843562291928</v>
      </c>
      <c r="M154" s="209">
        <f t="shared" si="48"/>
        <v>5.2355847299175124</v>
      </c>
      <c r="N154" s="210">
        <f t="shared" si="49"/>
        <v>160.5840203528368</v>
      </c>
      <c r="O154" s="209">
        <v>0</v>
      </c>
      <c r="P154" s="209">
        <v>0</v>
      </c>
      <c r="Q154" s="209">
        <v>0</v>
      </c>
      <c r="R154" s="210">
        <f t="shared" si="50"/>
        <v>160.5840203528368</v>
      </c>
    </row>
    <row r="155" spans="1:19" x14ac:dyDescent="0.25">
      <c r="A155" s="125">
        <v>4</v>
      </c>
      <c r="B155" s="201">
        <f t="shared" si="45"/>
        <v>43922</v>
      </c>
      <c r="C155" s="225">
        <f t="shared" si="51"/>
        <v>43956</v>
      </c>
      <c r="D155" s="225">
        <f t="shared" si="51"/>
        <v>43976</v>
      </c>
      <c r="E155" s="233" t="s">
        <v>54</v>
      </c>
      <c r="F155" s="162">
        <v>9</v>
      </c>
      <c r="G155" s="204">
        <v>102</v>
      </c>
      <c r="H155" s="205">
        <f t="shared" si="46"/>
        <v>10.251577535152041</v>
      </c>
      <c r="I155" s="205">
        <f t="shared" si="44"/>
        <v>12.037191737714332</v>
      </c>
      <c r="J155" s="206">
        <f t="shared" si="47"/>
        <v>1227.7935572468618</v>
      </c>
      <c r="K155" s="207">
        <f t="shared" si="41"/>
        <v>1045.6609085855082</v>
      </c>
      <c r="L155" s="208">
        <f t="shared" ref="L155:L165" si="52">+J155-K155</f>
        <v>182.13264866135364</v>
      </c>
      <c r="M155" s="209">
        <f t="shared" si="48"/>
        <v>6.1382717523170838</v>
      </c>
      <c r="N155" s="210">
        <f t="shared" si="49"/>
        <v>188.27092041367072</v>
      </c>
      <c r="O155" s="209">
        <v>0</v>
      </c>
      <c r="P155" s="209">
        <v>0</v>
      </c>
      <c r="Q155" s="209">
        <v>0</v>
      </c>
      <c r="R155" s="210">
        <f t="shared" si="50"/>
        <v>188.27092041367072</v>
      </c>
    </row>
    <row r="156" spans="1:19" x14ac:dyDescent="0.25">
      <c r="A156" s="162">
        <v>5</v>
      </c>
      <c r="B156" s="201">
        <f t="shared" si="45"/>
        <v>43952</v>
      </c>
      <c r="C156" s="225">
        <f t="shared" si="51"/>
        <v>43985</v>
      </c>
      <c r="D156" s="225">
        <f t="shared" si="51"/>
        <v>44006</v>
      </c>
      <c r="E156" s="233" t="s">
        <v>54</v>
      </c>
      <c r="F156" s="162">
        <v>9</v>
      </c>
      <c r="G156" s="204">
        <v>92</v>
      </c>
      <c r="H156" s="205">
        <f t="shared" si="46"/>
        <v>10.251577535152041</v>
      </c>
      <c r="I156" s="205">
        <f t="shared" si="44"/>
        <v>12.037191737714332</v>
      </c>
      <c r="J156" s="206">
        <f t="shared" si="47"/>
        <v>1107.4216398697185</v>
      </c>
      <c r="K156" s="207">
        <f t="shared" si="41"/>
        <v>943.14513323398774</v>
      </c>
      <c r="L156" s="208">
        <f t="shared" si="52"/>
        <v>164.27650663573081</v>
      </c>
      <c r="M156" s="209">
        <f t="shared" si="48"/>
        <v>5.5364804040507023</v>
      </c>
      <c r="N156" s="210">
        <f t="shared" si="49"/>
        <v>169.81298703978152</v>
      </c>
      <c r="O156" s="209">
        <v>0</v>
      </c>
      <c r="P156" s="209">
        <v>0</v>
      </c>
      <c r="Q156" s="209">
        <v>0</v>
      </c>
      <c r="R156" s="210">
        <f t="shared" si="50"/>
        <v>169.81298703978152</v>
      </c>
    </row>
    <row r="157" spans="1:19" x14ac:dyDescent="0.25">
      <c r="A157" s="162">
        <v>6</v>
      </c>
      <c r="B157" s="201">
        <f t="shared" si="45"/>
        <v>43983</v>
      </c>
      <c r="C157" s="225">
        <f t="shared" si="51"/>
        <v>44015</v>
      </c>
      <c r="D157" s="225">
        <f t="shared" si="51"/>
        <v>44036</v>
      </c>
      <c r="E157" s="233" t="s">
        <v>54</v>
      </c>
      <c r="F157" s="162">
        <v>9</v>
      </c>
      <c r="G157" s="204">
        <v>143</v>
      </c>
      <c r="H157" s="205">
        <f t="shared" si="46"/>
        <v>10.251577535152041</v>
      </c>
      <c r="I157" s="205">
        <f t="shared" si="44"/>
        <v>12.037191737714332</v>
      </c>
      <c r="J157" s="206">
        <f t="shared" si="47"/>
        <v>1721.3184184931495</v>
      </c>
      <c r="K157" s="207">
        <f t="shared" si="41"/>
        <v>1465.9755875267419</v>
      </c>
      <c r="L157" s="212">
        <f t="shared" si="52"/>
        <v>255.34283096640752</v>
      </c>
      <c r="M157" s="209">
        <f t="shared" si="48"/>
        <v>8.6056162802092437</v>
      </c>
      <c r="N157" s="210">
        <f t="shared" si="49"/>
        <v>263.94844724661675</v>
      </c>
      <c r="O157" s="209">
        <v>0</v>
      </c>
      <c r="P157" s="209">
        <v>0</v>
      </c>
      <c r="Q157" s="209">
        <v>0</v>
      </c>
      <c r="R157" s="210">
        <f t="shared" si="50"/>
        <v>263.94844724661675</v>
      </c>
    </row>
    <row r="158" spans="1:19" x14ac:dyDescent="0.25">
      <c r="A158" s="125">
        <v>7</v>
      </c>
      <c r="B158" s="201">
        <f t="shared" si="45"/>
        <v>44013</v>
      </c>
      <c r="C158" s="225">
        <f t="shared" si="51"/>
        <v>44048</v>
      </c>
      <c r="D158" s="225">
        <f t="shared" si="51"/>
        <v>44067</v>
      </c>
      <c r="E158" s="233" t="s">
        <v>54</v>
      </c>
      <c r="F158" s="162">
        <v>9</v>
      </c>
      <c r="G158" s="204">
        <v>138</v>
      </c>
      <c r="H158" s="205">
        <f t="shared" si="46"/>
        <v>10.251577535152041</v>
      </c>
      <c r="I158" s="205">
        <f t="shared" si="44"/>
        <v>12.037191737714332</v>
      </c>
      <c r="J158" s="206">
        <f t="shared" si="47"/>
        <v>1661.1324598045778</v>
      </c>
      <c r="K158" s="213">
        <f t="shared" si="41"/>
        <v>1414.7176998509817</v>
      </c>
      <c r="L158" s="212">
        <f t="shared" si="52"/>
        <v>246.4147599535961</v>
      </c>
      <c r="M158" s="209">
        <f t="shared" si="48"/>
        <v>8.304720606076053</v>
      </c>
      <c r="N158" s="210">
        <f t="shared" si="49"/>
        <v>254.71948055967215</v>
      </c>
      <c r="O158" s="209">
        <v>0</v>
      </c>
      <c r="P158" s="209">
        <v>0</v>
      </c>
      <c r="Q158" s="209">
        <v>0</v>
      </c>
      <c r="R158" s="210">
        <f t="shared" si="50"/>
        <v>254.71948055967215</v>
      </c>
    </row>
    <row r="159" spans="1:19" x14ac:dyDescent="0.25">
      <c r="A159" s="162">
        <v>8</v>
      </c>
      <c r="B159" s="201">
        <f t="shared" si="45"/>
        <v>44044</v>
      </c>
      <c r="C159" s="225">
        <f t="shared" si="51"/>
        <v>44077</v>
      </c>
      <c r="D159" s="225">
        <f t="shared" si="51"/>
        <v>44098</v>
      </c>
      <c r="E159" s="233" t="s">
        <v>54</v>
      </c>
      <c r="F159" s="125">
        <v>9</v>
      </c>
      <c r="G159" s="204">
        <v>152</v>
      </c>
      <c r="H159" s="205">
        <f t="shared" si="46"/>
        <v>10.251577535152041</v>
      </c>
      <c r="I159" s="205">
        <f t="shared" si="44"/>
        <v>12.037191737714332</v>
      </c>
      <c r="J159" s="206">
        <f t="shared" si="47"/>
        <v>1829.6531441325785</v>
      </c>
      <c r="K159" s="213">
        <f t="shared" si="41"/>
        <v>1558.2397853431103</v>
      </c>
      <c r="L159" s="212">
        <f t="shared" si="52"/>
        <v>271.41335878946825</v>
      </c>
      <c r="M159" s="209">
        <f t="shared" si="48"/>
        <v>9.1472284936489885</v>
      </c>
      <c r="N159" s="210">
        <f t="shared" si="49"/>
        <v>280.56058728311723</v>
      </c>
      <c r="O159" s="209">
        <v>0</v>
      </c>
      <c r="P159" s="209">
        <v>0</v>
      </c>
      <c r="Q159" s="209">
        <v>0</v>
      </c>
      <c r="R159" s="210">
        <f t="shared" si="50"/>
        <v>280.56058728311723</v>
      </c>
      <c r="S159" s="52"/>
    </row>
    <row r="160" spans="1:19" x14ac:dyDescent="0.25">
      <c r="A160" s="162">
        <v>9</v>
      </c>
      <c r="B160" s="201">
        <f t="shared" si="45"/>
        <v>44075</v>
      </c>
      <c r="C160" s="225">
        <f t="shared" si="51"/>
        <v>44109</v>
      </c>
      <c r="D160" s="225">
        <f t="shared" si="51"/>
        <v>44130</v>
      </c>
      <c r="E160" s="233" t="s">
        <v>54</v>
      </c>
      <c r="F160" s="125">
        <v>9</v>
      </c>
      <c r="G160" s="204">
        <v>136</v>
      </c>
      <c r="H160" s="205">
        <f t="shared" si="46"/>
        <v>10.251577535152041</v>
      </c>
      <c r="I160" s="205">
        <f t="shared" si="44"/>
        <v>12.037191737714332</v>
      </c>
      <c r="J160" s="206">
        <f t="shared" si="47"/>
        <v>1637.0580763291491</v>
      </c>
      <c r="K160" s="213">
        <f t="shared" si="41"/>
        <v>1394.2145447806777</v>
      </c>
      <c r="L160" s="212">
        <f t="shared" si="52"/>
        <v>242.84353154847145</v>
      </c>
      <c r="M160" s="209">
        <f t="shared" si="48"/>
        <v>8.1843623364227778</v>
      </c>
      <c r="N160" s="210">
        <f t="shared" si="49"/>
        <v>251.02789388489421</v>
      </c>
      <c r="O160" s="209">
        <v>0</v>
      </c>
      <c r="P160" s="209">
        <v>0</v>
      </c>
      <c r="Q160" s="209">
        <v>0</v>
      </c>
      <c r="R160" s="210">
        <f t="shared" si="50"/>
        <v>251.02789388489421</v>
      </c>
    </row>
    <row r="161" spans="1:19" x14ac:dyDescent="0.25">
      <c r="A161" s="125">
        <v>10</v>
      </c>
      <c r="B161" s="201">
        <f t="shared" si="45"/>
        <v>44105</v>
      </c>
      <c r="C161" s="225">
        <f t="shared" si="51"/>
        <v>44139</v>
      </c>
      <c r="D161" s="225">
        <f t="shared" si="51"/>
        <v>44159</v>
      </c>
      <c r="E161" s="233" t="s">
        <v>54</v>
      </c>
      <c r="F161" s="125">
        <v>9</v>
      </c>
      <c r="G161" s="204">
        <v>107</v>
      </c>
      <c r="H161" s="205">
        <f t="shared" si="46"/>
        <v>10.251577535152041</v>
      </c>
      <c r="I161" s="205">
        <f t="shared" si="44"/>
        <v>12.037191737714332</v>
      </c>
      <c r="J161" s="206">
        <f t="shared" si="47"/>
        <v>1287.9795159354335</v>
      </c>
      <c r="K161" s="213">
        <f t="shared" si="41"/>
        <v>1096.9187962612684</v>
      </c>
      <c r="L161" s="212">
        <f t="shared" si="52"/>
        <v>191.06071967416506</v>
      </c>
      <c r="M161" s="209">
        <f t="shared" si="48"/>
        <v>6.4391674264502745</v>
      </c>
      <c r="N161" s="210">
        <f t="shared" si="49"/>
        <v>197.49988710061533</v>
      </c>
      <c r="O161" s="209">
        <v>0</v>
      </c>
      <c r="P161" s="209">
        <v>0</v>
      </c>
      <c r="Q161" s="209">
        <v>0</v>
      </c>
      <c r="R161" s="210">
        <f t="shared" si="50"/>
        <v>197.49988710061533</v>
      </c>
    </row>
    <row r="162" spans="1:19" x14ac:dyDescent="0.25">
      <c r="A162" s="162">
        <v>11</v>
      </c>
      <c r="B162" s="201">
        <f t="shared" si="45"/>
        <v>44136</v>
      </c>
      <c r="C162" s="225">
        <f t="shared" si="51"/>
        <v>44168</v>
      </c>
      <c r="D162" s="225">
        <f t="shared" si="51"/>
        <v>44189</v>
      </c>
      <c r="E162" s="233" t="s">
        <v>54</v>
      </c>
      <c r="F162" s="125">
        <v>9</v>
      </c>
      <c r="G162" s="204">
        <v>95</v>
      </c>
      <c r="H162" s="205">
        <f t="shared" si="46"/>
        <v>10.251577535152041</v>
      </c>
      <c r="I162" s="205">
        <f t="shared" si="44"/>
        <v>12.037191737714332</v>
      </c>
      <c r="J162" s="206">
        <f t="shared" si="47"/>
        <v>1143.5332150828615</v>
      </c>
      <c r="K162" s="213">
        <f t="shared" si="41"/>
        <v>973.89986583944392</v>
      </c>
      <c r="L162" s="212">
        <f t="shared" si="52"/>
        <v>169.63334924341757</v>
      </c>
      <c r="M162" s="209">
        <f t="shared" si="48"/>
        <v>5.717017808530616</v>
      </c>
      <c r="N162" s="210">
        <f t="shared" si="49"/>
        <v>175.35036705194818</v>
      </c>
      <c r="O162" s="209">
        <v>0</v>
      </c>
      <c r="P162" s="209">
        <v>0</v>
      </c>
      <c r="Q162" s="209">
        <v>0</v>
      </c>
      <c r="R162" s="210">
        <f t="shared" si="50"/>
        <v>175.35036705194818</v>
      </c>
    </row>
    <row r="163" spans="1:19" s="229" customFormat="1" x14ac:dyDescent="0.25">
      <c r="A163" s="162">
        <v>12</v>
      </c>
      <c r="B163" s="227">
        <f t="shared" si="45"/>
        <v>44166</v>
      </c>
      <c r="C163" s="225">
        <f t="shared" si="51"/>
        <v>44202</v>
      </c>
      <c r="D163" s="225">
        <f t="shared" si="51"/>
        <v>44221</v>
      </c>
      <c r="E163" s="234" t="s">
        <v>54</v>
      </c>
      <c r="F163" s="173">
        <v>9</v>
      </c>
      <c r="G163" s="216">
        <v>99</v>
      </c>
      <c r="H163" s="217">
        <f t="shared" si="46"/>
        <v>10.251577535152041</v>
      </c>
      <c r="I163" s="217">
        <f t="shared" si="44"/>
        <v>12.037191737714332</v>
      </c>
      <c r="J163" s="218">
        <f t="shared" si="47"/>
        <v>1191.6819820337189</v>
      </c>
      <c r="K163" s="219">
        <f t="shared" si="41"/>
        <v>1014.906175980052</v>
      </c>
      <c r="L163" s="220">
        <f t="shared" si="52"/>
        <v>176.77580605366688</v>
      </c>
      <c r="M163" s="209">
        <f t="shared" si="48"/>
        <v>5.9577343478371692</v>
      </c>
      <c r="N163" s="210">
        <f t="shared" si="49"/>
        <v>182.73354040150406</v>
      </c>
      <c r="O163" s="209">
        <v>0</v>
      </c>
      <c r="P163" s="209">
        <v>0</v>
      </c>
      <c r="Q163" s="209">
        <v>0</v>
      </c>
      <c r="R163" s="210">
        <f t="shared" si="50"/>
        <v>182.73354040150406</v>
      </c>
    </row>
    <row r="164" spans="1:19" x14ac:dyDescent="0.25">
      <c r="A164" s="125">
        <v>1</v>
      </c>
      <c r="B164" s="201">
        <f t="shared" si="45"/>
        <v>43831</v>
      </c>
      <c r="C164" s="222">
        <f t="shared" si="51"/>
        <v>43866</v>
      </c>
      <c r="D164" s="222">
        <f t="shared" si="51"/>
        <v>43885</v>
      </c>
      <c r="E164" s="232" t="s">
        <v>55</v>
      </c>
      <c r="F164" s="125">
        <v>9</v>
      </c>
      <c r="G164" s="204">
        <v>11</v>
      </c>
      <c r="H164" s="205">
        <f t="shared" si="46"/>
        <v>10.251577535152041</v>
      </c>
      <c r="I164" s="205">
        <f t="shared" si="44"/>
        <v>12.037191737714332</v>
      </c>
      <c r="J164" s="206">
        <f t="shared" si="47"/>
        <v>132.40910911485764</v>
      </c>
      <c r="K164" s="207">
        <f t="shared" si="41"/>
        <v>112.76735288667246</v>
      </c>
      <c r="L164" s="208">
        <f t="shared" si="52"/>
        <v>19.641756228185187</v>
      </c>
      <c r="M164" s="209">
        <f t="shared" si="48"/>
        <v>0.66197048309301876</v>
      </c>
      <c r="N164" s="210">
        <f t="shared" si="49"/>
        <v>20.303726711278205</v>
      </c>
      <c r="O164" s="209">
        <v>0</v>
      </c>
      <c r="P164" s="209">
        <v>0</v>
      </c>
      <c r="Q164" s="209">
        <v>0</v>
      </c>
      <c r="R164" s="210">
        <f t="shared" si="50"/>
        <v>20.303726711278205</v>
      </c>
    </row>
    <row r="165" spans="1:19" x14ac:dyDescent="0.25">
      <c r="A165" s="162">
        <v>2</v>
      </c>
      <c r="B165" s="201">
        <f t="shared" si="45"/>
        <v>43862</v>
      </c>
      <c r="C165" s="225">
        <f t="shared" si="51"/>
        <v>43894</v>
      </c>
      <c r="D165" s="225">
        <f t="shared" si="51"/>
        <v>43914</v>
      </c>
      <c r="E165" s="233" t="s">
        <v>55</v>
      </c>
      <c r="F165" s="162">
        <v>9</v>
      </c>
      <c r="G165" s="204">
        <v>10</v>
      </c>
      <c r="H165" s="205">
        <f t="shared" si="46"/>
        <v>10.251577535152041</v>
      </c>
      <c r="I165" s="205">
        <f t="shared" si="44"/>
        <v>12.037191737714332</v>
      </c>
      <c r="J165" s="206">
        <f t="shared" si="47"/>
        <v>120.37191737714332</v>
      </c>
      <c r="K165" s="207">
        <f t="shared" si="41"/>
        <v>102.5157753515204</v>
      </c>
      <c r="L165" s="208">
        <f t="shared" si="52"/>
        <v>17.856142025622916</v>
      </c>
      <c r="M165" s="209">
        <f t="shared" si="48"/>
        <v>0.6017913482663807</v>
      </c>
      <c r="N165" s="210">
        <f t="shared" si="49"/>
        <v>18.457933373889297</v>
      </c>
      <c r="O165" s="209">
        <v>0</v>
      </c>
      <c r="P165" s="209">
        <v>0</v>
      </c>
      <c r="Q165" s="209">
        <v>0</v>
      </c>
      <c r="R165" s="210">
        <f t="shared" si="50"/>
        <v>18.457933373889297</v>
      </c>
    </row>
    <row r="166" spans="1:19" x14ac:dyDescent="0.25">
      <c r="A166" s="162">
        <v>3</v>
      </c>
      <c r="B166" s="201">
        <f t="shared" si="45"/>
        <v>43891</v>
      </c>
      <c r="C166" s="225">
        <f t="shared" si="51"/>
        <v>43924</v>
      </c>
      <c r="D166" s="225">
        <f t="shared" si="51"/>
        <v>43945</v>
      </c>
      <c r="E166" s="233" t="s">
        <v>55</v>
      </c>
      <c r="F166" s="162">
        <v>9</v>
      </c>
      <c r="G166" s="204">
        <v>10</v>
      </c>
      <c r="H166" s="205">
        <f t="shared" si="46"/>
        <v>10.251577535152041</v>
      </c>
      <c r="I166" s="205">
        <f t="shared" si="44"/>
        <v>12.037191737714332</v>
      </c>
      <c r="J166" s="206">
        <f t="shared" si="47"/>
        <v>120.37191737714332</v>
      </c>
      <c r="K166" s="207">
        <f t="shared" si="41"/>
        <v>102.5157753515204</v>
      </c>
      <c r="L166" s="208">
        <f>+J166-K166</f>
        <v>17.856142025622916</v>
      </c>
      <c r="M166" s="209">
        <f t="shared" si="48"/>
        <v>0.6017913482663807</v>
      </c>
      <c r="N166" s="210">
        <f t="shared" si="49"/>
        <v>18.457933373889297</v>
      </c>
      <c r="O166" s="209">
        <v>0</v>
      </c>
      <c r="P166" s="209">
        <v>0</v>
      </c>
      <c r="Q166" s="209">
        <v>0</v>
      </c>
      <c r="R166" s="210">
        <f t="shared" si="50"/>
        <v>18.457933373889297</v>
      </c>
    </row>
    <row r="167" spans="1:19" x14ac:dyDescent="0.25">
      <c r="A167" s="125">
        <v>4</v>
      </c>
      <c r="B167" s="201">
        <f t="shared" si="45"/>
        <v>43922</v>
      </c>
      <c r="C167" s="225">
        <f t="shared" si="51"/>
        <v>43956</v>
      </c>
      <c r="D167" s="225">
        <f t="shared" si="51"/>
        <v>43976</v>
      </c>
      <c r="E167" s="233" t="s">
        <v>55</v>
      </c>
      <c r="F167" s="162">
        <v>9</v>
      </c>
      <c r="G167" s="204">
        <v>7</v>
      </c>
      <c r="H167" s="205">
        <f t="shared" si="46"/>
        <v>10.251577535152041</v>
      </c>
      <c r="I167" s="205">
        <f t="shared" si="44"/>
        <v>12.037191737714332</v>
      </c>
      <c r="J167" s="206">
        <f t="shared" si="47"/>
        <v>84.260342164000321</v>
      </c>
      <c r="K167" s="207">
        <f t="shared" si="41"/>
        <v>71.761042746064291</v>
      </c>
      <c r="L167" s="208">
        <f t="shared" ref="L167:L177" si="53">+J167-K167</f>
        <v>12.499299417936029</v>
      </c>
      <c r="M167" s="209">
        <f t="shared" si="48"/>
        <v>0.42125394378646647</v>
      </c>
      <c r="N167" s="210">
        <f t="shared" si="49"/>
        <v>12.920553361722495</v>
      </c>
      <c r="O167" s="209">
        <v>0</v>
      </c>
      <c r="P167" s="209">
        <v>0</v>
      </c>
      <c r="Q167" s="209">
        <v>0</v>
      </c>
      <c r="R167" s="210">
        <f t="shared" si="50"/>
        <v>12.920553361722495</v>
      </c>
    </row>
    <row r="168" spans="1:19" x14ac:dyDescent="0.25">
      <c r="A168" s="162">
        <v>5</v>
      </c>
      <c r="B168" s="201">
        <f t="shared" si="45"/>
        <v>43952</v>
      </c>
      <c r="C168" s="225">
        <f t="shared" si="51"/>
        <v>43985</v>
      </c>
      <c r="D168" s="225">
        <f t="shared" si="51"/>
        <v>44006</v>
      </c>
      <c r="E168" s="233" t="s">
        <v>55</v>
      </c>
      <c r="F168" s="162">
        <v>9</v>
      </c>
      <c r="G168" s="204">
        <v>13</v>
      </c>
      <c r="H168" s="205">
        <f t="shared" si="46"/>
        <v>10.251577535152041</v>
      </c>
      <c r="I168" s="205">
        <f t="shared" si="44"/>
        <v>12.037191737714332</v>
      </c>
      <c r="J168" s="206">
        <f t="shared" si="47"/>
        <v>156.48349259028632</v>
      </c>
      <c r="K168" s="207">
        <f t="shared" si="41"/>
        <v>133.27050795697653</v>
      </c>
      <c r="L168" s="208">
        <f t="shared" si="53"/>
        <v>23.212984633309787</v>
      </c>
      <c r="M168" s="209">
        <f t="shared" si="48"/>
        <v>0.78232875274629499</v>
      </c>
      <c r="N168" s="210">
        <f t="shared" si="49"/>
        <v>23.995313386056083</v>
      </c>
      <c r="O168" s="209">
        <v>0</v>
      </c>
      <c r="P168" s="209">
        <v>0</v>
      </c>
      <c r="Q168" s="209">
        <v>0</v>
      </c>
      <c r="R168" s="210">
        <f t="shared" si="50"/>
        <v>23.995313386056083</v>
      </c>
    </row>
    <row r="169" spans="1:19" x14ac:dyDescent="0.25">
      <c r="A169" s="162">
        <v>6</v>
      </c>
      <c r="B169" s="201">
        <f t="shared" si="45"/>
        <v>43983</v>
      </c>
      <c r="C169" s="225">
        <f t="shared" si="51"/>
        <v>44015</v>
      </c>
      <c r="D169" s="225">
        <f t="shared" si="51"/>
        <v>44036</v>
      </c>
      <c r="E169" s="233" t="s">
        <v>55</v>
      </c>
      <c r="F169" s="162">
        <v>9</v>
      </c>
      <c r="G169" s="204">
        <v>12</v>
      </c>
      <c r="H169" s="205">
        <f t="shared" si="46"/>
        <v>10.251577535152041</v>
      </c>
      <c r="I169" s="205">
        <f t="shared" si="44"/>
        <v>12.037191737714332</v>
      </c>
      <c r="J169" s="206">
        <f t="shared" si="47"/>
        <v>144.44630085257199</v>
      </c>
      <c r="K169" s="207">
        <f t="shared" si="41"/>
        <v>123.01893042182449</v>
      </c>
      <c r="L169" s="212">
        <f t="shared" si="53"/>
        <v>21.427370430747501</v>
      </c>
      <c r="M169" s="209">
        <f t="shared" si="48"/>
        <v>0.72214961791965682</v>
      </c>
      <c r="N169" s="210">
        <f t="shared" si="49"/>
        <v>22.14952004866716</v>
      </c>
      <c r="O169" s="209">
        <v>0</v>
      </c>
      <c r="P169" s="209">
        <v>0</v>
      </c>
      <c r="Q169" s="209">
        <v>0</v>
      </c>
      <c r="R169" s="210">
        <f t="shared" si="50"/>
        <v>22.14952004866716</v>
      </c>
    </row>
    <row r="170" spans="1:19" x14ac:dyDescent="0.25">
      <c r="A170" s="125">
        <v>7</v>
      </c>
      <c r="B170" s="201">
        <f t="shared" si="45"/>
        <v>44013</v>
      </c>
      <c r="C170" s="225">
        <f t="shared" si="51"/>
        <v>44048</v>
      </c>
      <c r="D170" s="225">
        <f t="shared" si="51"/>
        <v>44067</v>
      </c>
      <c r="E170" s="233" t="s">
        <v>55</v>
      </c>
      <c r="F170" s="162">
        <v>9</v>
      </c>
      <c r="G170" s="204">
        <v>15</v>
      </c>
      <c r="H170" s="205">
        <f t="shared" si="46"/>
        <v>10.251577535152041</v>
      </c>
      <c r="I170" s="205">
        <f t="shared" si="44"/>
        <v>12.037191737714332</v>
      </c>
      <c r="J170" s="206">
        <f t="shared" si="47"/>
        <v>180.55787606571499</v>
      </c>
      <c r="K170" s="213">
        <f t="shared" si="41"/>
        <v>153.77366302728061</v>
      </c>
      <c r="L170" s="212">
        <f t="shared" si="53"/>
        <v>26.784213038434387</v>
      </c>
      <c r="M170" s="209">
        <f t="shared" si="48"/>
        <v>0.9026870223995711</v>
      </c>
      <c r="N170" s="210">
        <f t="shared" si="49"/>
        <v>27.68690006083396</v>
      </c>
      <c r="O170" s="209">
        <v>0</v>
      </c>
      <c r="P170" s="209">
        <v>0</v>
      </c>
      <c r="Q170" s="209">
        <v>0</v>
      </c>
      <c r="R170" s="210">
        <f t="shared" si="50"/>
        <v>27.68690006083396</v>
      </c>
    </row>
    <row r="171" spans="1:19" x14ac:dyDescent="0.25">
      <c r="A171" s="162">
        <v>8</v>
      </c>
      <c r="B171" s="201">
        <f t="shared" si="45"/>
        <v>44044</v>
      </c>
      <c r="C171" s="225">
        <f t="shared" si="51"/>
        <v>44077</v>
      </c>
      <c r="D171" s="225">
        <f t="shared" si="51"/>
        <v>44098</v>
      </c>
      <c r="E171" s="233" t="s">
        <v>55</v>
      </c>
      <c r="F171" s="125">
        <v>9</v>
      </c>
      <c r="G171" s="204">
        <v>12</v>
      </c>
      <c r="H171" s="205">
        <f t="shared" si="46"/>
        <v>10.251577535152041</v>
      </c>
      <c r="I171" s="205">
        <f t="shared" si="44"/>
        <v>12.037191737714332</v>
      </c>
      <c r="J171" s="206">
        <f t="shared" si="47"/>
        <v>144.44630085257199</v>
      </c>
      <c r="K171" s="213">
        <f t="shared" si="41"/>
        <v>123.01893042182449</v>
      </c>
      <c r="L171" s="212">
        <f t="shared" si="53"/>
        <v>21.427370430747501</v>
      </c>
      <c r="M171" s="209">
        <f t="shared" si="48"/>
        <v>0.72214961791965682</v>
      </c>
      <c r="N171" s="210">
        <f t="shared" si="49"/>
        <v>22.14952004866716</v>
      </c>
      <c r="O171" s="209">
        <v>0</v>
      </c>
      <c r="P171" s="209">
        <v>0</v>
      </c>
      <c r="Q171" s="209">
        <v>0</v>
      </c>
      <c r="R171" s="210">
        <f t="shared" si="50"/>
        <v>22.14952004866716</v>
      </c>
      <c r="S171" s="52"/>
    </row>
    <row r="172" spans="1:19" x14ac:dyDescent="0.25">
      <c r="A172" s="162">
        <v>9</v>
      </c>
      <c r="B172" s="201">
        <f t="shared" si="45"/>
        <v>44075</v>
      </c>
      <c r="C172" s="225">
        <f t="shared" ref="C172:D175" si="54">+C160</f>
        <v>44109</v>
      </c>
      <c r="D172" s="225">
        <f t="shared" si="54"/>
        <v>44130</v>
      </c>
      <c r="E172" s="233" t="s">
        <v>55</v>
      </c>
      <c r="F172" s="125">
        <v>9</v>
      </c>
      <c r="G172" s="204">
        <v>14</v>
      </c>
      <c r="H172" s="205">
        <f t="shared" si="46"/>
        <v>10.251577535152041</v>
      </c>
      <c r="I172" s="205">
        <f t="shared" si="44"/>
        <v>12.037191737714332</v>
      </c>
      <c r="J172" s="206">
        <f t="shared" si="47"/>
        <v>168.52068432800064</v>
      </c>
      <c r="K172" s="213">
        <f t="shared" si="41"/>
        <v>143.52208549212858</v>
      </c>
      <c r="L172" s="212">
        <f t="shared" si="53"/>
        <v>24.998598835872059</v>
      </c>
      <c r="M172" s="209">
        <f t="shared" si="48"/>
        <v>0.84250788757293293</v>
      </c>
      <c r="N172" s="210">
        <f t="shared" si="49"/>
        <v>25.841106723444991</v>
      </c>
      <c r="O172" s="209">
        <v>0</v>
      </c>
      <c r="P172" s="209">
        <v>0</v>
      </c>
      <c r="Q172" s="209">
        <v>0</v>
      </c>
      <c r="R172" s="210">
        <f t="shared" si="50"/>
        <v>25.841106723444991</v>
      </c>
    </row>
    <row r="173" spans="1:19" x14ac:dyDescent="0.25">
      <c r="A173" s="125">
        <v>10</v>
      </c>
      <c r="B173" s="201">
        <f t="shared" si="45"/>
        <v>44105</v>
      </c>
      <c r="C173" s="225">
        <f t="shared" si="54"/>
        <v>44139</v>
      </c>
      <c r="D173" s="225">
        <f t="shared" si="54"/>
        <v>44159</v>
      </c>
      <c r="E173" s="233" t="s">
        <v>55</v>
      </c>
      <c r="F173" s="125">
        <v>9</v>
      </c>
      <c r="G173" s="204">
        <v>11</v>
      </c>
      <c r="H173" s="205">
        <f t="shared" si="46"/>
        <v>10.251577535152041</v>
      </c>
      <c r="I173" s="205">
        <f t="shared" si="44"/>
        <v>12.037191737714332</v>
      </c>
      <c r="J173" s="206">
        <f t="shared" si="47"/>
        <v>132.40910911485764</v>
      </c>
      <c r="K173" s="213">
        <f t="shared" si="41"/>
        <v>112.76735288667246</v>
      </c>
      <c r="L173" s="212">
        <f t="shared" si="53"/>
        <v>19.641756228185187</v>
      </c>
      <c r="M173" s="209">
        <f t="shared" si="48"/>
        <v>0.66197048309301876</v>
      </c>
      <c r="N173" s="210">
        <f t="shared" si="49"/>
        <v>20.303726711278205</v>
      </c>
      <c r="O173" s="209">
        <v>0</v>
      </c>
      <c r="P173" s="209">
        <v>0</v>
      </c>
      <c r="Q173" s="209">
        <v>0</v>
      </c>
      <c r="R173" s="210">
        <f t="shared" si="50"/>
        <v>20.303726711278205</v>
      </c>
    </row>
    <row r="174" spans="1:19" x14ac:dyDescent="0.25">
      <c r="A174" s="162">
        <v>11</v>
      </c>
      <c r="B174" s="201">
        <f t="shared" si="45"/>
        <v>44136</v>
      </c>
      <c r="C174" s="225">
        <f t="shared" si="54"/>
        <v>44168</v>
      </c>
      <c r="D174" s="225">
        <f t="shared" si="54"/>
        <v>44189</v>
      </c>
      <c r="E174" s="233" t="s">
        <v>55</v>
      </c>
      <c r="F174" s="125">
        <v>9</v>
      </c>
      <c r="G174" s="204">
        <v>9</v>
      </c>
      <c r="H174" s="205">
        <f t="shared" si="46"/>
        <v>10.251577535152041</v>
      </c>
      <c r="I174" s="205">
        <f t="shared" si="44"/>
        <v>12.037191737714332</v>
      </c>
      <c r="J174" s="206">
        <f t="shared" si="47"/>
        <v>108.334725639429</v>
      </c>
      <c r="K174" s="213">
        <f t="shared" si="41"/>
        <v>92.264197816368366</v>
      </c>
      <c r="L174" s="212">
        <f t="shared" si="53"/>
        <v>16.07052782306063</v>
      </c>
      <c r="M174" s="209">
        <f t="shared" si="48"/>
        <v>0.54161221343974264</v>
      </c>
      <c r="N174" s="210">
        <f t="shared" si="49"/>
        <v>16.612140036500371</v>
      </c>
      <c r="O174" s="209">
        <v>0</v>
      </c>
      <c r="P174" s="209">
        <v>0</v>
      </c>
      <c r="Q174" s="209">
        <v>0</v>
      </c>
      <c r="R174" s="210">
        <f t="shared" si="50"/>
        <v>16.612140036500371</v>
      </c>
    </row>
    <row r="175" spans="1:19" s="229" customFormat="1" x14ac:dyDescent="0.25">
      <c r="A175" s="162">
        <v>12</v>
      </c>
      <c r="B175" s="227">
        <f t="shared" si="45"/>
        <v>44166</v>
      </c>
      <c r="C175" s="225">
        <f t="shared" si="54"/>
        <v>44202</v>
      </c>
      <c r="D175" s="225">
        <f t="shared" si="54"/>
        <v>44221</v>
      </c>
      <c r="E175" s="234" t="s">
        <v>55</v>
      </c>
      <c r="F175" s="173">
        <v>9</v>
      </c>
      <c r="G175" s="216">
        <v>8</v>
      </c>
      <c r="H175" s="217">
        <f t="shared" si="46"/>
        <v>10.251577535152041</v>
      </c>
      <c r="I175" s="217">
        <f t="shared" si="44"/>
        <v>12.037191737714332</v>
      </c>
      <c r="J175" s="218">
        <f t="shared" si="47"/>
        <v>96.297533901714658</v>
      </c>
      <c r="K175" s="219">
        <f t="shared" si="41"/>
        <v>82.012620281216329</v>
      </c>
      <c r="L175" s="220">
        <f t="shared" si="53"/>
        <v>14.28491362049833</v>
      </c>
      <c r="M175" s="209">
        <f t="shared" si="48"/>
        <v>0.48143307861310458</v>
      </c>
      <c r="N175" s="210">
        <f t="shared" si="49"/>
        <v>14.766346699111434</v>
      </c>
      <c r="O175" s="209">
        <v>0</v>
      </c>
      <c r="P175" s="209">
        <v>0</v>
      </c>
      <c r="Q175" s="209">
        <v>0</v>
      </c>
      <c r="R175" s="210">
        <f t="shared" si="50"/>
        <v>14.766346699111434</v>
      </c>
    </row>
    <row r="176" spans="1:19" x14ac:dyDescent="0.25">
      <c r="A176" s="125">
        <v>1</v>
      </c>
      <c r="B176" s="201">
        <f t="shared" si="45"/>
        <v>43831</v>
      </c>
      <c r="C176" s="222">
        <f t="shared" ref="C176:D187" si="55">+C152</f>
        <v>43866</v>
      </c>
      <c r="D176" s="222">
        <f t="shared" si="55"/>
        <v>43885</v>
      </c>
      <c r="E176" s="232" t="s">
        <v>56</v>
      </c>
      <c r="F176" s="162">
        <v>9</v>
      </c>
      <c r="G176" s="204">
        <v>20</v>
      </c>
      <c r="H176" s="205">
        <f t="shared" si="46"/>
        <v>10.251577535152041</v>
      </c>
      <c r="I176" s="205">
        <f t="shared" si="44"/>
        <v>12.037191737714332</v>
      </c>
      <c r="J176" s="206">
        <f t="shared" si="47"/>
        <v>240.74383475428664</v>
      </c>
      <c r="K176" s="207">
        <f t="shared" si="41"/>
        <v>205.03155070304081</v>
      </c>
      <c r="L176" s="208">
        <f t="shared" si="53"/>
        <v>35.712284051245831</v>
      </c>
      <c r="M176" s="209">
        <f t="shared" si="48"/>
        <v>1.2035826965327614</v>
      </c>
      <c r="N176" s="210">
        <f t="shared" si="49"/>
        <v>36.915866747778594</v>
      </c>
      <c r="O176" s="209">
        <v>0</v>
      </c>
      <c r="P176" s="209">
        <v>0</v>
      </c>
      <c r="Q176" s="209">
        <v>0</v>
      </c>
      <c r="R176" s="210">
        <f t="shared" si="50"/>
        <v>36.915866747778594</v>
      </c>
    </row>
    <row r="177" spans="1:18" x14ac:dyDescent="0.25">
      <c r="A177" s="162">
        <v>2</v>
      </c>
      <c r="B177" s="201">
        <f t="shared" si="45"/>
        <v>43862</v>
      </c>
      <c r="C177" s="225">
        <f t="shared" si="55"/>
        <v>43894</v>
      </c>
      <c r="D177" s="225">
        <f t="shared" si="55"/>
        <v>43914</v>
      </c>
      <c r="E177" s="54" t="s">
        <v>56</v>
      </c>
      <c r="F177" s="162">
        <v>9</v>
      </c>
      <c r="G177" s="204">
        <v>19</v>
      </c>
      <c r="H177" s="205">
        <f t="shared" si="46"/>
        <v>10.251577535152041</v>
      </c>
      <c r="I177" s="205">
        <f t="shared" si="44"/>
        <v>12.037191737714332</v>
      </c>
      <c r="J177" s="206">
        <f t="shared" si="47"/>
        <v>228.70664301657231</v>
      </c>
      <c r="K177" s="207">
        <f t="shared" si="41"/>
        <v>194.77997316788878</v>
      </c>
      <c r="L177" s="208">
        <f t="shared" si="53"/>
        <v>33.926669848683531</v>
      </c>
      <c r="M177" s="209">
        <f t="shared" si="48"/>
        <v>1.1434035617061236</v>
      </c>
      <c r="N177" s="210">
        <f t="shared" si="49"/>
        <v>35.070073410389654</v>
      </c>
      <c r="O177" s="209">
        <v>0</v>
      </c>
      <c r="P177" s="209">
        <v>0</v>
      </c>
      <c r="Q177" s="209">
        <v>0</v>
      </c>
      <c r="R177" s="210">
        <f t="shared" si="50"/>
        <v>35.070073410389654</v>
      </c>
    </row>
    <row r="178" spans="1:18" x14ac:dyDescent="0.25">
      <c r="A178" s="162">
        <v>3</v>
      </c>
      <c r="B178" s="201">
        <f t="shared" si="45"/>
        <v>43891</v>
      </c>
      <c r="C178" s="225">
        <f t="shared" si="55"/>
        <v>43924</v>
      </c>
      <c r="D178" s="225">
        <f t="shared" si="55"/>
        <v>43945</v>
      </c>
      <c r="E178" s="54" t="s">
        <v>56</v>
      </c>
      <c r="F178" s="162">
        <v>9</v>
      </c>
      <c r="G178" s="204">
        <v>19</v>
      </c>
      <c r="H178" s="205">
        <f t="shared" si="46"/>
        <v>10.251577535152041</v>
      </c>
      <c r="I178" s="205">
        <f t="shared" si="44"/>
        <v>12.037191737714332</v>
      </c>
      <c r="J178" s="206">
        <f t="shared" si="47"/>
        <v>228.70664301657231</v>
      </c>
      <c r="K178" s="207">
        <f t="shared" si="41"/>
        <v>194.77997316788878</v>
      </c>
      <c r="L178" s="208">
        <f>+J178-K178</f>
        <v>33.926669848683531</v>
      </c>
      <c r="M178" s="209">
        <f t="shared" si="48"/>
        <v>1.1434035617061236</v>
      </c>
      <c r="N178" s="210">
        <f t="shared" si="49"/>
        <v>35.070073410389654</v>
      </c>
      <c r="O178" s="209">
        <v>0</v>
      </c>
      <c r="P178" s="209">
        <v>0</v>
      </c>
      <c r="Q178" s="209">
        <v>0</v>
      </c>
      <c r="R178" s="210">
        <f t="shared" si="50"/>
        <v>35.070073410389654</v>
      </c>
    </row>
    <row r="179" spans="1:18" x14ac:dyDescent="0.25">
      <c r="A179" s="125">
        <v>4</v>
      </c>
      <c r="B179" s="201">
        <f t="shared" si="45"/>
        <v>43922</v>
      </c>
      <c r="C179" s="225">
        <f t="shared" si="55"/>
        <v>43956</v>
      </c>
      <c r="D179" s="225">
        <f t="shared" si="55"/>
        <v>43976</v>
      </c>
      <c r="E179" s="54" t="s">
        <v>56</v>
      </c>
      <c r="F179" s="162">
        <v>9</v>
      </c>
      <c r="G179" s="204">
        <v>21</v>
      </c>
      <c r="H179" s="205">
        <f t="shared" si="46"/>
        <v>10.251577535152041</v>
      </c>
      <c r="I179" s="205">
        <f t="shared" si="44"/>
        <v>12.037191737714332</v>
      </c>
      <c r="J179" s="206">
        <f t="shared" si="47"/>
        <v>252.78102649200099</v>
      </c>
      <c r="K179" s="207">
        <f t="shared" si="41"/>
        <v>215.28312823819286</v>
      </c>
      <c r="L179" s="208">
        <f t="shared" ref="L179:L189" si="56">+J179-K179</f>
        <v>37.497898253808131</v>
      </c>
      <c r="M179" s="209">
        <f t="shared" si="48"/>
        <v>1.2637618313593995</v>
      </c>
      <c r="N179" s="210">
        <f t="shared" si="49"/>
        <v>38.761660085167527</v>
      </c>
      <c r="O179" s="209">
        <v>0</v>
      </c>
      <c r="P179" s="209">
        <v>0</v>
      </c>
      <c r="Q179" s="209">
        <v>0</v>
      </c>
      <c r="R179" s="210">
        <f t="shared" si="50"/>
        <v>38.761660085167527</v>
      </c>
    </row>
    <row r="180" spans="1:18" x14ac:dyDescent="0.25">
      <c r="A180" s="162">
        <v>5</v>
      </c>
      <c r="B180" s="201">
        <f t="shared" si="45"/>
        <v>43952</v>
      </c>
      <c r="C180" s="225">
        <f t="shared" si="55"/>
        <v>43985</v>
      </c>
      <c r="D180" s="225">
        <f t="shared" si="55"/>
        <v>44006</v>
      </c>
      <c r="E180" s="54" t="s">
        <v>56</v>
      </c>
      <c r="F180" s="162">
        <v>9</v>
      </c>
      <c r="G180" s="204">
        <v>23</v>
      </c>
      <c r="H180" s="205">
        <f t="shared" si="46"/>
        <v>10.251577535152041</v>
      </c>
      <c r="I180" s="205">
        <f t="shared" ref="I180:I211" si="57">$J$3</f>
        <v>12.037191737714332</v>
      </c>
      <c r="J180" s="206">
        <f t="shared" si="47"/>
        <v>276.85540996742964</v>
      </c>
      <c r="K180" s="207">
        <f t="shared" si="41"/>
        <v>235.78628330849693</v>
      </c>
      <c r="L180" s="208">
        <f t="shared" si="56"/>
        <v>41.069126658932703</v>
      </c>
      <c r="M180" s="209">
        <f t="shared" si="48"/>
        <v>1.3841201010126756</v>
      </c>
      <c r="N180" s="210">
        <f t="shared" si="49"/>
        <v>42.45324675994538</v>
      </c>
      <c r="O180" s="209">
        <v>0</v>
      </c>
      <c r="P180" s="209">
        <v>0</v>
      </c>
      <c r="Q180" s="209">
        <v>0</v>
      </c>
      <c r="R180" s="210">
        <f t="shared" si="50"/>
        <v>42.45324675994538</v>
      </c>
    </row>
    <row r="181" spans="1:18" x14ac:dyDescent="0.25">
      <c r="A181" s="162">
        <v>6</v>
      </c>
      <c r="B181" s="201">
        <f t="shared" si="45"/>
        <v>43983</v>
      </c>
      <c r="C181" s="225">
        <f t="shared" si="55"/>
        <v>44015</v>
      </c>
      <c r="D181" s="225">
        <f t="shared" si="55"/>
        <v>44036</v>
      </c>
      <c r="E181" s="54" t="s">
        <v>56</v>
      </c>
      <c r="F181" s="162">
        <v>9</v>
      </c>
      <c r="G181" s="204">
        <v>29</v>
      </c>
      <c r="H181" s="205">
        <f t="shared" si="46"/>
        <v>10.251577535152041</v>
      </c>
      <c r="I181" s="205">
        <f t="shared" si="57"/>
        <v>12.037191737714332</v>
      </c>
      <c r="J181" s="206">
        <f t="shared" si="47"/>
        <v>349.07856039371563</v>
      </c>
      <c r="K181" s="207">
        <f t="shared" si="41"/>
        <v>297.29574851940919</v>
      </c>
      <c r="L181" s="212">
        <f t="shared" si="56"/>
        <v>51.782811874306446</v>
      </c>
      <c r="M181" s="209">
        <f t="shared" si="48"/>
        <v>1.7451949099725041</v>
      </c>
      <c r="N181" s="210">
        <f t="shared" si="49"/>
        <v>53.528006784278951</v>
      </c>
      <c r="O181" s="209">
        <v>0</v>
      </c>
      <c r="P181" s="209">
        <v>0</v>
      </c>
      <c r="Q181" s="209">
        <v>0</v>
      </c>
      <c r="R181" s="210">
        <f t="shared" si="50"/>
        <v>53.528006784278951</v>
      </c>
    </row>
    <row r="182" spans="1:18" x14ac:dyDescent="0.25">
      <c r="A182" s="125">
        <v>7</v>
      </c>
      <c r="B182" s="201">
        <f t="shared" si="45"/>
        <v>44013</v>
      </c>
      <c r="C182" s="225">
        <f t="shared" si="55"/>
        <v>44048</v>
      </c>
      <c r="D182" s="225">
        <f t="shared" si="55"/>
        <v>44067</v>
      </c>
      <c r="E182" s="54" t="s">
        <v>56</v>
      </c>
      <c r="F182" s="162">
        <v>9</v>
      </c>
      <c r="G182" s="204">
        <v>33</v>
      </c>
      <c r="H182" s="205">
        <f t="shared" si="46"/>
        <v>10.251577535152041</v>
      </c>
      <c r="I182" s="205">
        <f t="shared" si="57"/>
        <v>12.037191737714332</v>
      </c>
      <c r="J182" s="206">
        <f t="shared" si="47"/>
        <v>397.22732734457298</v>
      </c>
      <c r="K182" s="213">
        <f t="shared" si="41"/>
        <v>338.30205866001734</v>
      </c>
      <c r="L182" s="212">
        <f t="shared" si="56"/>
        <v>58.925268684555647</v>
      </c>
      <c r="M182" s="209">
        <f t="shared" si="48"/>
        <v>1.9859114492790564</v>
      </c>
      <c r="N182" s="210">
        <f t="shared" si="49"/>
        <v>60.911180133834705</v>
      </c>
      <c r="O182" s="209">
        <v>0</v>
      </c>
      <c r="P182" s="209">
        <v>0</v>
      </c>
      <c r="Q182" s="209">
        <v>0</v>
      </c>
      <c r="R182" s="210">
        <f t="shared" si="50"/>
        <v>60.911180133834705</v>
      </c>
    </row>
    <row r="183" spans="1:18" x14ac:dyDescent="0.25">
      <c r="A183" s="162">
        <v>8</v>
      </c>
      <c r="B183" s="201">
        <f t="shared" si="45"/>
        <v>44044</v>
      </c>
      <c r="C183" s="225">
        <f t="shared" si="55"/>
        <v>44077</v>
      </c>
      <c r="D183" s="225">
        <f t="shared" si="55"/>
        <v>44098</v>
      </c>
      <c r="E183" s="54" t="s">
        <v>56</v>
      </c>
      <c r="F183" s="162">
        <v>9</v>
      </c>
      <c r="G183" s="204">
        <v>34</v>
      </c>
      <c r="H183" s="205">
        <f t="shared" si="46"/>
        <v>10.251577535152041</v>
      </c>
      <c r="I183" s="205">
        <f t="shared" si="57"/>
        <v>12.037191737714332</v>
      </c>
      <c r="J183" s="206">
        <f t="shared" si="47"/>
        <v>409.26451908228728</v>
      </c>
      <c r="K183" s="213">
        <f t="shared" si="41"/>
        <v>348.55363619516942</v>
      </c>
      <c r="L183" s="212">
        <f t="shared" si="56"/>
        <v>60.710882887117862</v>
      </c>
      <c r="M183" s="209">
        <f t="shared" si="48"/>
        <v>2.0460905841056944</v>
      </c>
      <c r="N183" s="210">
        <f t="shared" si="49"/>
        <v>62.756973471223553</v>
      </c>
      <c r="O183" s="209">
        <v>0</v>
      </c>
      <c r="P183" s="209">
        <v>0</v>
      </c>
      <c r="Q183" s="209">
        <v>0</v>
      </c>
      <c r="R183" s="210">
        <f t="shared" si="50"/>
        <v>62.756973471223553</v>
      </c>
    </row>
    <row r="184" spans="1:18" x14ac:dyDescent="0.25">
      <c r="A184" s="162">
        <v>9</v>
      </c>
      <c r="B184" s="201">
        <f t="shared" si="45"/>
        <v>44075</v>
      </c>
      <c r="C184" s="225">
        <f t="shared" si="55"/>
        <v>44109</v>
      </c>
      <c r="D184" s="225">
        <f t="shared" si="55"/>
        <v>44130</v>
      </c>
      <c r="E184" s="54" t="s">
        <v>56</v>
      </c>
      <c r="F184" s="162">
        <v>9</v>
      </c>
      <c r="G184" s="204">
        <v>30</v>
      </c>
      <c r="H184" s="205">
        <f t="shared" si="46"/>
        <v>10.251577535152041</v>
      </c>
      <c r="I184" s="205">
        <f t="shared" si="57"/>
        <v>12.037191737714332</v>
      </c>
      <c r="J184" s="206">
        <f t="shared" si="47"/>
        <v>361.11575213142999</v>
      </c>
      <c r="K184" s="213">
        <f t="shared" si="41"/>
        <v>307.54732605456121</v>
      </c>
      <c r="L184" s="212">
        <f t="shared" si="56"/>
        <v>53.568426076868775</v>
      </c>
      <c r="M184" s="209">
        <f t="shared" si="48"/>
        <v>1.8053740447991422</v>
      </c>
      <c r="N184" s="210">
        <f t="shared" si="49"/>
        <v>55.373800121667919</v>
      </c>
      <c r="O184" s="209">
        <v>0</v>
      </c>
      <c r="P184" s="209">
        <v>0</v>
      </c>
      <c r="Q184" s="209">
        <v>0</v>
      </c>
      <c r="R184" s="210">
        <f t="shared" si="50"/>
        <v>55.373800121667919</v>
      </c>
    </row>
    <row r="185" spans="1:18" x14ac:dyDescent="0.25">
      <c r="A185" s="125">
        <v>10</v>
      </c>
      <c r="B185" s="201">
        <f t="shared" si="45"/>
        <v>44105</v>
      </c>
      <c r="C185" s="225">
        <f t="shared" si="55"/>
        <v>44139</v>
      </c>
      <c r="D185" s="225">
        <f t="shared" si="55"/>
        <v>44159</v>
      </c>
      <c r="E185" s="54" t="s">
        <v>56</v>
      </c>
      <c r="F185" s="162">
        <v>9</v>
      </c>
      <c r="G185" s="204">
        <v>21</v>
      </c>
      <c r="H185" s="205">
        <f t="shared" si="46"/>
        <v>10.251577535152041</v>
      </c>
      <c r="I185" s="205">
        <f t="shared" si="57"/>
        <v>12.037191737714332</v>
      </c>
      <c r="J185" s="206">
        <f t="shared" si="47"/>
        <v>252.78102649200099</v>
      </c>
      <c r="K185" s="213">
        <f t="shared" si="41"/>
        <v>215.28312823819286</v>
      </c>
      <c r="L185" s="212">
        <f t="shared" si="56"/>
        <v>37.497898253808131</v>
      </c>
      <c r="M185" s="209">
        <f t="shared" si="48"/>
        <v>1.2637618313593995</v>
      </c>
      <c r="N185" s="210">
        <f t="shared" si="49"/>
        <v>38.761660085167527</v>
      </c>
      <c r="O185" s="209">
        <v>0</v>
      </c>
      <c r="P185" s="209">
        <v>0</v>
      </c>
      <c r="Q185" s="209">
        <v>0</v>
      </c>
      <c r="R185" s="210">
        <f t="shared" si="50"/>
        <v>38.761660085167527</v>
      </c>
    </row>
    <row r="186" spans="1:18" x14ac:dyDescent="0.25">
      <c r="A186" s="162">
        <v>11</v>
      </c>
      <c r="B186" s="201">
        <f t="shared" si="45"/>
        <v>44136</v>
      </c>
      <c r="C186" s="225">
        <f t="shared" si="55"/>
        <v>44168</v>
      </c>
      <c r="D186" s="225">
        <f t="shared" si="55"/>
        <v>44189</v>
      </c>
      <c r="E186" s="54" t="s">
        <v>56</v>
      </c>
      <c r="F186" s="162">
        <v>9</v>
      </c>
      <c r="G186" s="204">
        <v>16</v>
      </c>
      <c r="H186" s="205">
        <f t="shared" si="46"/>
        <v>10.251577535152041</v>
      </c>
      <c r="I186" s="205">
        <f t="shared" si="57"/>
        <v>12.037191737714332</v>
      </c>
      <c r="J186" s="206">
        <f t="shared" si="47"/>
        <v>192.59506780342932</v>
      </c>
      <c r="K186" s="213">
        <f t="shared" si="41"/>
        <v>164.02524056243266</v>
      </c>
      <c r="L186" s="212">
        <f t="shared" si="56"/>
        <v>28.569827240996659</v>
      </c>
      <c r="M186" s="209">
        <f t="shared" si="48"/>
        <v>0.96286615722620916</v>
      </c>
      <c r="N186" s="210">
        <f t="shared" si="49"/>
        <v>29.532693398222868</v>
      </c>
      <c r="O186" s="209">
        <v>0</v>
      </c>
      <c r="P186" s="209">
        <v>0</v>
      </c>
      <c r="Q186" s="209">
        <v>0</v>
      </c>
      <c r="R186" s="210">
        <f t="shared" si="50"/>
        <v>29.532693398222868</v>
      </c>
    </row>
    <row r="187" spans="1:18" s="229" customFormat="1" x14ac:dyDescent="0.25">
      <c r="A187" s="162">
        <v>12</v>
      </c>
      <c r="B187" s="227">
        <f t="shared" si="45"/>
        <v>44166</v>
      </c>
      <c r="C187" s="225">
        <f t="shared" si="55"/>
        <v>44202</v>
      </c>
      <c r="D187" s="225">
        <f t="shared" si="55"/>
        <v>44221</v>
      </c>
      <c r="E187" s="228" t="s">
        <v>56</v>
      </c>
      <c r="F187" s="173">
        <v>9</v>
      </c>
      <c r="G187" s="216">
        <v>19</v>
      </c>
      <c r="H187" s="217">
        <f t="shared" si="46"/>
        <v>10.251577535152041</v>
      </c>
      <c r="I187" s="217">
        <f t="shared" si="57"/>
        <v>12.037191737714332</v>
      </c>
      <c r="J187" s="218">
        <f t="shared" si="47"/>
        <v>228.70664301657231</v>
      </c>
      <c r="K187" s="219">
        <f t="shared" si="41"/>
        <v>194.77997316788878</v>
      </c>
      <c r="L187" s="220">
        <f t="shared" si="56"/>
        <v>33.926669848683531</v>
      </c>
      <c r="M187" s="209">
        <f t="shared" si="48"/>
        <v>1.1434035617061236</v>
      </c>
      <c r="N187" s="210">
        <f t="shared" si="49"/>
        <v>35.070073410389654</v>
      </c>
      <c r="O187" s="209">
        <v>0</v>
      </c>
      <c r="P187" s="209">
        <v>0</v>
      </c>
      <c r="Q187" s="209">
        <v>0</v>
      </c>
      <c r="R187" s="210">
        <f t="shared" si="50"/>
        <v>35.070073410389654</v>
      </c>
    </row>
    <row r="188" spans="1:18" x14ac:dyDescent="0.25">
      <c r="A188" s="125">
        <v>1</v>
      </c>
      <c r="B188" s="201">
        <f t="shared" si="45"/>
        <v>43831</v>
      </c>
      <c r="C188" s="222">
        <f t="shared" ref="C188:D211" si="58">+C176</f>
        <v>43866</v>
      </c>
      <c r="D188" s="222">
        <f t="shared" si="58"/>
        <v>43885</v>
      </c>
      <c r="E188" s="203" t="s">
        <v>57</v>
      </c>
      <c r="F188" s="125">
        <v>9</v>
      </c>
      <c r="G188" s="204">
        <v>35</v>
      </c>
      <c r="H188" s="205">
        <f t="shared" si="46"/>
        <v>10.251577535152041</v>
      </c>
      <c r="I188" s="205">
        <f t="shared" si="57"/>
        <v>12.037191737714332</v>
      </c>
      <c r="J188" s="206">
        <f t="shared" si="47"/>
        <v>421.30171082000163</v>
      </c>
      <c r="K188" s="207">
        <f t="shared" si="41"/>
        <v>358.80521373032144</v>
      </c>
      <c r="L188" s="208">
        <f t="shared" si="56"/>
        <v>62.49649708968019</v>
      </c>
      <c r="M188" s="209">
        <f t="shared" si="48"/>
        <v>2.1062697189323325</v>
      </c>
      <c r="N188" s="210">
        <f t="shared" si="49"/>
        <v>64.602766808612529</v>
      </c>
      <c r="O188" s="209">
        <v>0</v>
      </c>
      <c r="P188" s="209">
        <v>0</v>
      </c>
      <c r="Q188" s="209">
        <v>0</v>
      </c>
      <c r="R188" s="210">
        <f t="shared" si="50"/>
        <v>64.602766808612529</v>
      </c>
    </row>
    <row r="189" spans="1:18" x14ac:dyDescent="0.25">
      <c r="A189" s="162">
        <v>2</v>
      </c>
      <c r="B189" s="201">
        <f t="shared" si="45"/>
        <v>43862</v>
      </c>
      <c r="C189" s="225">
        <f t="shared" si="58"/>
        <v>43894</v>
      </c>
      <c r="D189" s="225">
        <f t="shared" si="58"/>
        <v>43914</v>
      </c>
      <c r="E189" s="211" t="s">
        <v>57</v>
      </c>
      <c r="F189" s="162">
        <v>9</v>
      </c>
      <c r="G189" s="204">
        <v>34</v>
      </c>
      <c r="H189" s="205">
        <f t="shared" si="46"/>
        <v>10.251577535152041</v>
      </c>
      <c r="I189" s="205">
        <f t="shared" si="57"/>
        <v>12.037191737714332</v>
      </c>
      <c r="J189" s="206">
        <f t="shared" si="47"/>
        <v>409.26451908228728</v>
      </c>
      <c r="K189" s="207">
        <f t="shared" si="41"/>
        <v>348.55363619516942</v>
      </c>
      <c r="L189" s="208">
        <f t="shared" si="56"/>
        <v>60.710882887117862</v>
      </c>
      <c r="M189" s="209">
        <f t="shared" si="48"/>
        <v>2.0460905841056944</v>
      </c>
      <c r="N189" s="210">
        <f t="shared" si="49"/>
        <v>62.756973471223553</v>
      </c>
      <c r="O189" s="209">
        <v>0</v>
      </c>
      <c r="P189" s="209">
        <v>0</v>
      </c>
      <c r="Q189" s="209">
        <v>0</v>
      </c>
      <c r="R189" s="210">
        <f t="shared" si="50"/>
        <v>62.756973471223553</v>
      </c>
    </row>
    <row r="190" spans="1:18" x14ac:dyDescent="0.25">
      <c r="A190" s="162">
        <v>3</v>
      </c>
      <c r="B190" s="201">
        <f t="shared" si="45"/>
        <v>43891</v>
      </c>
      <c r="C190" s="225">
        <f t="shared" si="58"/>
        <v>43924</v>
      </c>
      <c r="D190" s="225">
        <f t="shared" si="58"/>
        <v>43945</v>
      </c>
      <c r="E190" s="211" t="s">
        <v>57</v>
      </c>
      <c r="F190" s="162">
        <v>9</v>
      </c>
      <c r="G190" s="204">
        <v>30</v>
      </c>
      <c r="H190" s="205">
        <f t="shared" si="46"/>
        <v>10.251577535152041</v>
      </c>
      <c r="I190" s="205">
        <f t="shared" si="57"/>
        <v>12.037191737714332</v>
      </c>
      <c r="J190" s="206">
        <f t="shared" si="47"/>
        <v>361.11575213142999</v>
      </c>
      <c r="K190" s="207">
        <f t="shared" si="41"/>
        <v>307.54732605456121</v>
      </c>
      <c r="L190" s="208">
        <f>+J190-K190</f>
        <v>53.568426076868775</v>
      </c>
      <c r="M190" s="209">
        <f t="shared" si="48"/>
        <v>1.8053740447991422</v>
      </c>
      <c r="N190" s="210">
        <f t="shared" si="49"/>
        <v>55.373800121667919</v>
      </c>
      <c r="O190" s="209">
        <v>0</v>
      </c>
      <c r="P190" s="209">
        <v>0</v>
      </c>
      <c r="Q190" s="209">
        <v>0</v>
      </c>
      <c r="R190" s="210">
        <f t="shared" si="50"/>
        <v>55.373800121667919</v>
      </c>
    </row>
    <row r="191" spans="1:18" x14ac:dyDescent="0.25">
      <c r="A191" s="125">
        <v>4</v>
      </c>
      <c r="B191" s="201">
        <f t="shared" si="45"/>
        <v>43922</v>
      </c>
      <c r="C191" s="225">
        <f t="shared" si="58"/>
        <v>43956</v>
      </c>
      <c r="D191" s="225">
        <f t="shared" si="58"/>
        <v>43976</v>
      </c>
      <c r="E191" s="54" t="s">
        <v>57</v>
      </c>
      <c r="F191" s="162">
        <v>9</v>
      </c>
      <c r="G191" s="204">
        <v>32</v>
      </c>
      <c r="H191" s="205">
        <f t="shared" si="46"/>
        <v>10.251577535152041</v>
      </c>
      <c r="I191" s="205">
        <f t="shared" si="57"/>
        <v>12.037191737714332</v>
      </c>
      <c r="J191" s="206">
        <f t="shared" si="47"/>
        <v>385.19013560685863</v>
      </c>
      <c r="K191" s="207">
        <f t="shared" si="41"/>
        <v>328.05048112486531</v>
      </c>
      <c r="L191" s="208">
        <f t="shared" ref="L191:L201" si="59">+J191-K191</f>
        <v>57.139654481993318</v>
      </c>
      <c r="M191" s="209">
        <f t="shared" si="48"/>
        <v>1.9257323144524183</v>
      </c>
      <c r="N191" s="210">
        <f t="shared" si="49"/>
        <v>59.065386796445736</v>
      </c>
      <c r="O191" s="209">
        <v>0</v>
      </c>
      <c r="P191" s="209">
        <v>0</v>
      </c>
      <c r="Q191" s="209">
        <v>0</v>
      </c>
      <c r="R191" s="210">
        <f t="shared" si="50"/>
        <v>59.065386796445736</v>
      </c>
    </row>
    <row r="192" spans="1:18" x14ac:dyDescent="0.25">
      <c r="A192" s="162">
        <v>5</v>
      </c>
      <c r="B192" s="201">
        <f t="shared" si="45"/>
        <v>43952</v>
      </c>
      <c r="C192" s="225">
        <f t="shared" si="58"/>
        <v>43985</v>
      </c>
      <c r="D192" s="225">
        <f t="shared" si="58"/>
        <v>44006</v>
      </c>
      <c r="E192" s="54" t="s">
        <v>57</v>
      </c>
      <c r="F192" s="162">
        <v>9</v>
      </c>
      <c r="G192" s="204">
        <v>36</v>
      </c>
      <c r="H192" s="205">
        <f t="shared" si="46"/>
        <v>10.251577535152041</v>
      </c>
      <c r="I192" s="205">
        <f t="shared" si="57"/>
        <v>12.037191737714332</v>
      </c>
      <c r="J192" s="206">
        <f t="shared" si="47"/>
        <v>433.33890255771598</v>
      </c>
      <c r="K192" s="207">
        <f t="shared" si="41"/>
        <v>369.05679126547346</v>
      </c>
      <c r="L192" s="208">
        <f t="shared" si="59"/>
        <v>64.282111292242519</v>
      </c>
      <c r="M192" s="209">
        <f t="shared" si="48"/>
        <v>2.1664488537589706</v>
      </c>
      <c r="N192" s="210">
        <f t="shared" si="49"/>
        <v>66.448560146001483</v>
      </c>
      <c r="O192" s="209">
        <v>0</v>
      </c>
      <c r="P192" s="209">
        <v>0</v>
      </c>
      <c r="Q192" s="209">
        <v>0</v>
      </c>
      <c r="R192" s="210">
        <f t="shared" si="50"/>
        <v>66.448560146001483</v>
      </c>
    </row>
    <row r="193" spans="1:18" x14ac:dyDescent="0.25">
      <c r="A193" s="162">
        <v>6</v>
      </c>
      <c r="B193" s="201">
        <f t="shared" si="45"/>
        <v>43983</v>
      </c>
      <c r="C193" s="225">
        <f t="shared" si="58"/>
        <v>44015</v>
      </c>
      <c r="D193" s="225">
        <f t="shared" si="58"/>
        <v>44036</v>
      </c>
      <c r="E193" s="54" t="s">
        <v>57</v>
      </c>
      <c r="F193" s="162">
        <v>9</v>
      </c>
      <c r="G193" s="204">
        <v>42</v>
      </c>
      <c r="H193" s="205">
        <f t="shared" si="46"/>
        <v>10.251577535152041</v>
      </c>
      <c r="I193" s="205">
        <f t="shared" si="57"/>
        <v>12.037191737714332</v>
      </c>
      <c r="J193" s="206">
        <f t="shared" si="47"/>
        <v>505.56205298400198</v>
      </c>
      <c r="K193" s="207">
        <f t="shared" si="41"/>
        <v>430.56625647638572</v>
      </c>
      <c r="L193" s="212">
        <f t="shared" si="59"/>
        <v>74.995796507616262</v>
      </c>
      <c r="M193" s="209">
        <f t="shared" si="48"/>
        <v>2.5275236627187989</v>
      </c>
      <c r="N193" s="210">
        <f t="shared" si="49"/>
        <v>77.523320170335055</v>
      </c>
      <c r="O193" s="209">
        <v>0</v>
      </c>
      <c r="P193" s="209">
        <v>0</v>
      </c>
      <c r="Q193" s="209">
        <v>0</v>
      </c>
      <c r="R193" s="210">
        <f t="shared" si="50"/>
        <v>77.523320170335055</v>
      </c>
    </row>
    <row r="194" spans="1:18" x14ac:dyDescent="0.25">
      <c r="A194" s="125">
        <v>7</v>
      </c>
      <c r="B194" s="201">
        <f t="shared" si="45"/>
        <v>44013</v>
      </c>
      <c r="C194" s="225">
        <f t="shared" si="58"/>
        <v>44048</v>
      </c>
      <c r="D194" s="225">
        <f t="shared" si="58"/>
        <v>44067</v>
      </c>
      <c r="E194" s="54" t="s">
        <v>57</v>
      </c>
      <c r="F194" s="162">
        <v>9</v>
      </c>
      <c r="G194" s="204">
        <v>47</v>
      </c>
      <c r="H194" s="205">
        <f t="shared" si="46"/>
        <v>10.251577535152041</v>
      </c>
      <c r="I194" s="205">
        <f t="shared" si="57"/>
        <v>12.037191737714332</v>
      </c>
      <c r="J194" s="206">
        <f t="shared" si="47"/>
        <v>565.74801167257363</v>
      </c>
      <c r="K194" s="213">
        <f t="shared" si="41"/>
        <v>481.82414415214595</v>
      </c>
      <c r="L194" s="212">
        <f t="shared" si="59"/>
        <v>83.923867520427677</v>
      </c>
      <c r="M194" s="209">
        <f t="shared" si="48"/>
        <v>2.8284193368519897</v>
      </c>
      <c r="N194" s="210">
        <f t="shared" si="49"/>
        <v>86.752286857279671</v>
      </c>
      <c r="O194" s="209">
        <v>0</v>
      </c>
      <c r="P194" s="209">
        <v>0</v>
      </c>
      <c r="Q194" s="209">
        <v>0</v>
      </c>
      <c r="R194" s="210">
        <f t="shared" si="50"/>
        <v>86.752286857279671</v>
      </c>
    </row>
    <row r="195" spans="1:18" x14ac:dyDescent="0.25">
      <c r="A195" s="162">
        <v>8</v>
      </c>
      <c r="B195" s="201">
        <f t="shared" si="45"/>
        <v>44044</v>
      </c>
      <c r="C195" s="225">
        <f t="shared" si="58"/>
        <v>44077</v>
      </c>
      <c r="D195" s="225">
        <f t="shared" si="58"/>
        <v>44098</v>
      </c>
      <c r="E195" s="54" t="s">
        <v>57</v>
      </c>
      <c r="F195" s="162">
        <v>9</v>
      </c>
      <c r="G195" s="204">
        <v>48</v>
      </c>
      <c r="H195" s="205">
        <f t="shared" si="46"/>
        <v>10.251577535152041</v>
      </c>
      <c r="I195" s="205">
        <f t="shared" si="57"/>
        <v>12.037191737714332</v>
      </c>
      <c r="J195" s="206">
        <f t="shared" si="47"/>
        <v>577.78520341028798</v>
      </c>
      <c r="K195" s="213">
        <f t="shared" si="41"/>
        <v>492.07572168729797</v>
      </c>
      <c r="L195" s="212">
        <f t="shared" si="59"/>
        <v>85.709481722990006</v>
      </c>
      <c r="M195" s="209">
        <f t="shared" si="48"/>
        <v>2.8885984716786273</v>
      </c>
      <c r="N195" s="210">
        <f t="shared" si="49"/>
        <v>88.59808019466864</v>
      </c>
      <c r="O195" s="209">
        <v>0</v>
      </c>
      <c r="P195" s="209">
        <v>0</v>
      </c>
      <c r="Q195" s="209">
        <v>0</v>
      </c>
      <c r="R195" s="210">
        <f t="shared" si="50"/>
        <v>88.59808019466864</v>
      </c>
    </row>
    <row r="196" spans="1:18" x14ac:dyDescent="0.25">
      <c r="A196" s="162">
        <v>9</v>
      </c>
      <c r="B196" s="201">
        <f t="shared" si="45"/>
        <v>44075</v>
      </c>
      <c r="C196" s="225">
        <f t="shared" si="58"/>
        <v>44109</v>
      </c>
      <c r="D196" s="225">
        <f t="shared" si="58"/>
        <v>44130</v>
      </c>
      <c r="E196" s="54" t="s">
        <v>57</v>
      </c>
      <c r="F196" s="162">
        <v>9</v>
      </c>
      <c r="G196" s="204">
        <v>44</v>
      </c>
      <c r="H196" s="205">
        <f t="shared" si="46"/>
        <v>10.251577535152041</v>
      </c>
      <c r="I196" s="205">
        <f t="shared" si="57"/>
        <v>12.037191737714332</v>
      </c>
      <c r="J196" s="206">
        <f t="shared" si="47"/>
        <v>529.63643645943057</v>
      </c>
      <c r="K196" s="213">
        <f t="shared" si="41"/>
        <v>451.06941154668982</v>
      </c>
      <c r="L196" s="212">
        <f t="shared" si="59"/>
        <v>78.567024912740749</v>
      </c>
      <c r="M196" s="209">
        <f t="shared" si="48"/>
        <v>2.647881932372075</v>
      </c>
      <c r="N196" s="210">
        <f t="shared" si="49"/>
        <v>81.214906845112822</v>
      </c>
      <c r="O196" s="209">
        <v>0</v>
      </c>
      <c r="P196" s="209">
        <v>0</v>
      </c>
      <c r="Q196" s="209">
        <v>0</v>
      </c>
      <c r="R196" s="210">
        <f t="shared" si="50"/>
        <v>81.214906845112822</v>
      </c>
    </row>
    <row r="197" spans="1:18" x14ac:dyDescent="0.25">
      <c r="A197" s="125">
        <v>10</v>
      </c>
      <c r="B197" s="201">
        <f t="shared" si="45"/>
        <v>44105</v>
      </c>
      <c r="C197" s="225">
        <f t="shared" si="58"/>
        <v>44139</v>
      </c>
      <c r="D197" s="225">
        <f t="shared" si="58"/>
        <v>44159</v>
      </c>
      <c r="E197" s="54" t="s">
        <v>57</v>
      </c>
      <c r="F197" s="162">
        <v>9</v>
      </c>
      <c r="G197" s="204">
        <v>30</v>
      </c>
      <c r="H197" s="205">
        <f t="shared" si="46"/>
        <v>10.251577535152041</v>
      </c>
      <c r="I197" s="205">
        <f t="shared" si="57"/>
        <v>12.037191737714332</v>
      </c>
      <c r="J197" s="206">
        <f t="shared" si="47"/>
        <v>361.11575213142999</v>
      </c>
      <c r="K197" s="213">
        <f t="shared" si="41"/>
        <v>307.54732605456121</v>
      </c>
      <c r="L197" s="212">
        <f t="shared" si="59"/>
        <v>53.568426076868775</v>
      </c>
      <c r="M197" s="209">
        <f t="shared" si="48"/>
        <v>1.8053740447991422</v>
      </c>
      <c r="N197" s="210">
        <f t="shared" si="49"/>
        <v>55.373800121667919</v>
      </c>
      <c r="O197" s="209">
        <v>0</v>
      </c>
      <c r="P197" s="209">
        <v>0</v>
      </c>
      <c r="Q197" s="209">
        <v>0</v>
      </c>
      <c r="R197" s="210">
        <f t="shared" si="50"/>
        <v>55.373800121667919</v>
      </c>
    </row>
    <row r="198" spans="1:18" x14ac:dyDescent="0.25">
      <c r="A198" s="162">
        <v>11</v>
      </c>
      <c r="B198" s="201">
        <f t="shared" si="45"/>
        <v>44136</v>
      </c>
      <c r="C198" s="225">
        <f t="shared" si="58"/>
        <v>44168</v>
      </c>
      <c r="D198" s="225">
        <f t="shared" si="58"/>
        <v>44189</v>
      </c>
      <c r="E198" s="54" t="s">
        <v>57</v>
      </c>
      <c r="F198" s="162">
        <v>9</v>
      </c>
      <c r="G198" s="204">
        <v>31</v>
      </c>
      <c r="H198" s="205">
        <f t="shared" si="46"/>
        <v>10.251577535152041</v>
      </c>
      <c r="I198" s="205">
        <f t="shared" si="57"/>
        <v>12.037191737714332</v>
      </c>
      <c r="J198" s="206">
        <f t="shared" si="47"/>
        <v>373.15294386914428</v>
      </c>
      <c r="K198" s="213">
        <f t="shared" ref="K198:K209" si="60">+$G198*H198</f>
        <v>317.79890358971329</v>
      </c>
      <c r="L198" s="212">
        <f t="shared" si="59"/>
        <v>55.35404027943099</v>
      </c>
      <c r="M198" s="209">
        <f t="shared" si="48"/>
        <v>1.86555317962578</v>
      </c>
      <c r="N198" s="210">
        <f t="shared" si="49"/>
        <v>57.219593459056767</v>
      </c>
      <c r="O198" s="209">
        <v>0</v>
      </c>
      <c r="P198" s="209">
        <v>0</v>
      </c>
      <c r="Q198" s="209">
        <v>0</v>
      </c>
      <c r="R198" s="210">
        <f t="shared" si="50"/>
        <v>57.219593459056767</v>
      </c>
    </row>
    <row r="199" spans="1:18" s="229" customFormat="1" x14ac:dyDescent="0.25">
      <c r="A199" s="162">
        <v>12</v>
      </c>
      <c r="B199" s="227">
        <f t="shared" si="45"/>
        <v>44166</v>
      </c>
      <c r="C199" s="225">
        <f t="shared" si="58"/>
        <v>44202</v>
      </c>
      <c r="D199" s="225">
        <f t="shared" si="58"/>
        <v>44221</v>
      </c>
      <c r="E199" s="228" t="s">
        <v>57</v>
      </c>
      <c r="F199" s="173">
        <v>9</v>
      </c>
      <c r="G199" s="216">
        <v>34</v>
      </c>
      <c r="H199" s="217">
        <f t="shared" si="46"/>
        <v>10.251577535152041</v>
      </c>
      <c r="I199" s="217">
        <f t="shared" si="57"/>
        <v>12.037191737714332</v>
      </c>
      <c r="J199" s="218">
        <f t="shared" si="47"/>
        <v>409.26451908228728</v>
      </c>
      <c r="K199" s="219">
        <f t="shared" si="60"/>
        <v>348.55363619516942</v>
      </c>
      <c r="L199" s="220">
        <f t="shared" si="59"/>
        <v>60.710882887117862</v>
      </c>
      <c r="M199" s="209">
        <f t="shared" si="48"/>
        <v>2.0460905841056944</v>
      </c>
      <c r="N199" s="210">
        <f t="shared" si="49"/>
        <v>62.756973471223553</v>
      </c>
      <c r="O199" s="209">
        <v>0</v>
      </c>
      <c r="P199" s="209">
        <v>0</v>
      </c>
      <c r="Q199" s="209">
        <v>0</v>
      </c>
      <c r="R199" s="210">
        <f t="shared" si="50"/>
        <v>62.756973471223553</v>
      </c>
    </row>
    <row r="200" spans="1:18" x14ac:dyDescent="0.25">
      <c r="A200" s="125">
        <v>1</v>
      </c>
      <c r="B200" s="201">
        <f t="shared" si="45"/>
        <v>43831</v>
      </c>
      <c r="C200" s="222">
        <f t="shared" si="58"/>
        <v>43866</v>
      </c>
      <c r="D200" s="222">
        <f t="shared" si="58"/>
        <v>43885</v>
      </c>
      <c r="E200" s="203" t="s">
        <v>17</v>
      </c>
      <c r="F200" s="125">
        <v>9</v>
      </c>
      <c r="G200" s="204">
        <v>106</v>
      </c>
      <c r="H200" s="205">
        <f t="shared" si="46"/>
        <v>10.251577535152041</v>
      </c>
      <c r="I200" s="205">
        <f t="shared" si="57"/>
        <v>12.037191737714332</v>
      </c>
      <c r="J200" s="206">
        <f t="shared" si="47"/>
        <v>1275.9423241977192</v>
      </c>
      <c r="K200" s="207">
        <f t="shared" si="60"/>
        <v>1086.6672187261163</v>
      </c>
      <c r="L200" s="208">
        <f t="shared" si="59"/>
        <v>189.27510547160296</v>
      </c>
      <c r="M200" s="209">
        <f t="shared" si="48"/>
        <v>6.378988291623636</v>
      </c>
      <c r="N200" s="210">
        <f t="shared" si="49"/>
        <v>195.6540937632266</v>
      </c>
      <c r="O200" s="209">
        <v>0</v>
      </c>
      <c r="P200" s="209">
        <v>0</v>
      </c>
      <c r="Q200" s="209">
        <v>0</v>
      </c>
      <c r="R200" s="210">
        <f t="shared" si="50"/>
        <v>195.6540937632266</v>
      </c>
    </row>
    <row r="201" spans="1:18" x14ac:dyDescent="0.25">
      <c r="A201" s="162">
        <v>2</v>
      </c>
      <c r="B201" s="201">
        <f t="shared" si="45"/>
        <v>43862</v>
      </c>
      <c r="C201" s="225">
        <f t="shared" si="58"/>
        <v>43894</v>
      </c>
      <c r="D201" s="225">
        <f t="shared" si="58"/>
        <v>43914</v>
      </c>
      <c r="E201" s="211" t="s">
        <v>17</v>
      </c>
      <c r="F201" s="162">
        <v>9</v>
      </c>
      <c r="G201" s="204">
        <v>103</v>
      </c>
      <c r="H201" s="205">
        <f t="shared" si="46"/>
        <v>10.251577535152041</v>
      </c>
      <c r="I201" s="205">
        <f t="shared" si="57"/>
        <v>12.037191737714332</v>
      </c>
      <c r="J201" s="206">
        <f t="shared" si="47"/>
        <v>1239.8307489845763</v>
      </c>
      <c r="K201" s="207">
        <f t="shared" si="60"/>
        <v>1055.9124861206603</v>
      </c>
      <c r="L201" s="208">
        <f t="shared" si="59"/>
        <v>183.91826286391597</v>
      </c>
      <c r="M201" s="209">
        <f t="shared" si="48"/>
        <v>6.1984508871437214</v>
      </c>
      <c r="N201" s="210">
        <f t="shared" si="49"/>
        <v>190.11671375105971</v>
      </c>
      <c r="O201" s="209">
        <v>0</v>
      </c>
      <c r="P201" s="209">
        <v>0</v>
      </c>
      <c r="Q201" s="209">
        <v>0</v>
      </c>
      <c r="R201" s="210">
        <f t="shared" si="50"/>
        <v>190.11671375105971</v>
      </c>
    </row>
    <row r="202" spans="1:18" x14ac:dyDescent="0.25">
      <c r="A202" s="162">
        <v>3</v>
      </c>
      <c r="B202" s="201">
        <f t="shared" si="45"/>
        <v>43891</v>
      </c>
      <c r="C202" s="225">
        <f t="shared" si="58"/>
        <v>43924</v>
      </c>
      <c r="D202" s="225">
        <f t="shared" si="58"/>
        <v>43945</v>
      </c>
      <c r="E202" s="211" t="s">
        <v>17</v>
      </c>
      <c r="F202" s="162">
        <v>9</v>
      </c>
      <c r="G202" s="204">
        <v>26</v>
      </c>
      <c r="H202" s="205">
        <f t="shared" si="46"/>
        <v>10.251577535152041</v>
      </c>
      <c r="I202" s="205">
        <f t="shared" si="57"/>
        <v>12.037191737714332</v>
      </c>
      <c r="J202" s="206">
        <f t="shared" si="47"/>
        <v>312.96698518057264</v>
      </c>
      <c r="K202" s="207">
        <f t="shared" si="60"/>
        <v>266.54101591395306</v>
      </c>
      <c r="L202" s="208">
        <f>+J202-K202</f>
        <v>46.425969266619575</v>
      </c>
      <c r="M202" s="209">
        <f t="shared" si="48"/>
        <v>1.56465750549259</v>
      </c>
      <c r="N202" s="210">
        <f t="shared" si="49"/>
        <v>47.990626772112165</v>
      </c>
      <c r="O202" s="209">
        <v>0</v>
      </c>
      <c r="P202" s="209">
        <v>0</v>
      </c>
      <c r="Q202" s="209">
        <v>0</v>
      </c>
      <c r="R202" s="210">
        <f t="shared" si="50"/>
        <v>47.990626772112165</v>
      </c>
    </row>
    <row r="203" spans="1:18" x14ac:dyDescent="0.25">
      <c r="A203" s="125">
        <v>4</v>
      </c>
      <c r="B203" s="201">
        <f t="shared" si="45"/>
        <v>43922</v>
      </c>
      <c r="C203" s="225">
        <f t="shared" si="58"/>
        <v>43956</v>
      </c>
      <c r="D203" s="225">
        <f t="shared" si="58"/>
        <v>43976</v>
      </c>
      <c r="E203" s="211" t="s">
        <v>17</v>
      </c>
      <c r="F203" s="162">
        <v>9</v>
      </c>
      <c r="G203" s="204">
        <v>97</v>
      </c>
      <c r="H203" s="205">
        <f t="shared" si="46"/>
        <v>10.251577535152041</v>
      </c>
      <c r="I203" s="205">
        <f t="shared" si="57"/>
        <v>12.037191737714332</v>
      </c>
      <c r="J203" s="206">
        <f t="shared" si="47"/>
        <v>1167.6075985582902</v>
      </c>
      <c r="K203" s="207">
        <f t="shared" si="60"/>
        <v>994.40302090974797</v>
      </c>
      <c r="L203" s="208">
        <f t="shared" ref="L203:L211" si="61">+J203-K203</f>
        <v>173.20457764854223</v>
      </c>
      <c r="M203" s="209">
        <f t="shared" si="48"/>
        <v>5.837376078183893</v>
      </c>
      <c r="N203" s="210">
        <f t="shared" si="49"/>
        <v>179.04195372672612</v>
      </c>
      <c r="O203" s="209">
        <v>0</v>
      </c>
      <c r="P203" s="209">
        <v>0</v>
      </c>
      <c r="Q203" s="209">
        <v>0</v>
      </c>
      <c r="R203" s="210">
        <f t="shared" si="50"/>
        <v>179.04195372672612</v>
      </c>
    </row>
    <row r="204" spans="1:18" x14ac:dyDescent="0.25">
      <c r="A204" s="162">
        <v>5</v>
      </c>
      <c r="B204" s="201">
        <f t="shared" si="45"/>
        <v>43952</v>
      </c>
      <c r="C204" s="225">
        <f t="shared" si="58"/>
        <v>43985</v>
      </c>
      <c r="D204" s="225">
        <f t="shared" si="58"/>
        <v>44006</v>
      </c>
      <c r="E204" s="54" t="s">
        <v>17</v>
      </c>
      <c r="F204" s="162">
        <v>9</v>
      </c>
      <c r="G204" s="204">
        <v>80</v>
      </c>
      <c r="H204" s="205">
        <f t="shared" si="46"/>
        <v>10.251577535152041</v>
      </c>
      <c r="I204" s="205">
        <f t="shared" si="57"/>
        <v>12.037191737714332</v>
      </c>
      <c r="J204" s="206">
        <f t="shared" si="47"/>
        <v>962.97533901714655</v>
      </c>
      <c r="K204" s="207">
        <f t="shared" si="60"/>
        <v>820.12620281216323</v>
      </c>
      <c r="L204" s="208">
        <f t="shared" si="61"/>
        <v>142.84913620498332</v>
      </c>
      <c r="M204" s="209">
        <f t="shared" si="48"/>
        <v>4.8143307861310456</v>
      </c>
      <c r="N204" s="210">
        <f t="shared" si="49"/>
        <v>147.66346699111438</v>
      </c>
      <c r="O204" s="209">
        <v>0</v>
      </c>
      <c r="P204" s="209">
        <v>0</v>
      </c>
      <c r="Q204" s="209">
        <v>0</v>
      </c>
      <c r="R204" s="210">
        <f t="shared" si="50"/>
        <v>147.66346699111438</v>
      </c>
    </row>
    <row r="205" spans="1:18" x14ac:dyDescent="0.25">
      <c r="A205" s="162">
        <v>6</v>
      </c>
      <c r="B205" s="201">
        <f t="shared" si="45"/>
        <v>43983</v>
      </c>
      <c r="C205" s="225">
        <f t="shared" si="58"/>
        <v>44015</v>
      </c>
      <c r="D205" s="225">
        <f t="shared" si="58"/>
        <v>44036</v>
      </c>
      <c r="E205" s="54" t="s">
        <v>17</v>
      </c>
      <c r="F205" s="162">
        <v>9</v>
      </c>
      <c r="G205" s="204">
        <v>99</v>
      </c>
      <c r="H205" s="205">
        <f t="shared" si="46"/>
        <v>10.251577535152041</v>
      </c>
      <c r="I205" s="205">
        <f t="shared" si="57"/>
        <v>12.037191737714332</v>
      </c>
      <c r="J205" s="206">
        <f t="shared" si="47"/>
        <v>1191.6819820337189</v>
      </c>
      <c r="K205" s="207">
        <f t="shared" si="60"/>
        <v>1014.906175980052</v>
      </c>
      <c r="L205" s="212">
        <f t="shared" si="61"/>
        <v>176.77580605366688</v>
      </c>
      <c r="M205" s="209">
        <f t="shared" si="48"/>
        <v>5.9577343478371692</v>
      </c>
      <c r="N205" s="210">
        <f t="shared" si="49"/>
        <v>182.73354040150406</v>
      </c>
      <c r="O205" s="209">
        <v>0</v>
      </c>
      <c r="P205" s="209">
        <v>0</v>
      </c>
      <c r="Q205" s="209">
        <v>0</v>
      </c>
      <c r="R205" s="210">
        <f t="shared" si="50"/>
        <v>182.73354040150406</v>
      </c>
    </row>
    <row r="206" spans="1:18" x14ac:dyDescent="0.25">
      <c r="A206" s="125">
        <v>7</v>
      </c>
      <c r="B206" s="201">
        <f t="shared" si="45"/>
        <v>44013</v>
      </c>
      <c r="C206" s="225">
        <f t="shared" si="58"/>
        <v>44048</v>
      </c>
      <c r="D206" s="225">
        <f t="shared" si="58"/>
        <v>44067</v>
      </c>
      <c r="E206" s="54" t="s">
        <v>17</v>
      </c>
      <c r="F206" s="162">
        <v>9</v>
      </c>
      <c r="G206" s="204">
        <v>111</v>
      </c>
      <c r="H206" s="205">
        <f t="shared" si="46"/>
        <v>10.251577535152041</v>
      </c>
      <c r="I206" s="205">
        <f t="shared" si="57"/>
        <v>12.037191737714332</v>
      </c>
      <c r="J206" s="206">
        <f t="shared" si="47"/>
        <v>1336.1282828862909</v>
      </c>
      <c r="K206" s="213">
        <f t="shared" si="60"/>
        <v>1137.9251064018765</v>
      </c>
      <c r="L206" s="212">
        <f t="shared" si="61"/>
        <v>198.20317648441437</v>
      </c>
      <c r="M206" s="209">
        <f t="shared" si="48"/>
        <v>6.6798839657568259</v>
      </c>
      <c r="N206" s="210">
        <f t="shared" si="49"/>
        <v>204.8830604501712</v>
      </c>
      <c r="O206" s="209">
        <v>0</v>
      </c>
      <c r="P206" s="209">
        <v>0</v>
      </c>
      <c r="Q206" s="209">
        <v>0</v>
      </c>
      <c r="R206" s="210">
        <f t="shared" si="50"/>
        <v>204.8830604501712</v>
      </c>
    </row>
    <row r="207" spans="1:18" x14ac:dyDescent="0.25">
      <c r="A207" s="162">
        <v>8</v>
      </c>
      <c r="B207" s="201">
        <f t="shared" si="45"/>
        <v>44044</v>
      </c>
      <c r="C207" s="225">
        <f t="shared" si="58"/>
        <v>44077</v>
      </c>
      <c r="D207" s="225">
        <f t="shared" si="58"/>
        <v>44098</v>
      </c>
      <c r="E207" s="54" t="s">
        <v>17</v>
      </c>
      <c r="F207" s="162">
        <v>9</v>
      </c>
      <c r="G207" s="204">
        <v>112</v>
      </c>
      <c r="H207" s="205">
        <f t="shared" si="46"/>
        <v>10.251577535152041</v>
      </c>
      <c r="I207" s="205">
        <f t="shared" si="57"/>
        <v>12.037191737714332</v>
      </c>
      <c r="J207" s="206">
        <f t="shared" si="47"/>
        <v>1348.1654746240051</v>
      </c>
      <c r="K207" s="213">
        <f t="shared" si="60"/>
        <v>1148.1766839370287</v>
      </c>
      <c r="L207" s="212">
        <f t="shared" si="61"/>
        <v>199.98879068697647</v>
      </c>
      <c r="M207" s="209">
        <f t="shared" si="48"/>
        <v>6.7400631005834635</v>
      </c>
      <c r="N207" s="210">
        <f t="shared" si="49"/>
        <v>206.72885378755993</v>
      </c>
      <c r="O207" s="209">
        <v>0</v>
      </c>
      <c r="P207" s="209">
        <v>0</v>
      </c>
      <c r="Q207" s="209">
        <v>0</v>
      </c>
      <c r="R207" s="210">
        <f t="shared" si="50"/>
        <v>206.72885378755993</v>
      </c>
    </row>
    <row r="208" spans="1:18" x14ac:dyDescent="0.25">
      <c r="A208" s="162">
        <v>9</v>
      </c>
      <c r="B208" s="201">
        <f t="shared" si="45"/>
        <v>44075</v>
      </c>
      <c r="C208" s="225">
        <f t="shared" si="58"/>
        <v>44109</v>
      </c>
      <c r="D208" s="225">
        <f t="shared" si="58"/>
        <v>44130</v>
      </c>
      <c r="E208" s="54" t="s">
        <v>17</v>
      </c>
      <c r="F208" s="162">
        <v>9</v>
      </c>
      <c r="G208" s="204">
        <v>114</v>
      </c>
      <c r="H208" s="205">
        <f t="shared" si="46"/>
        <v>10.251577535152041</v>
      </c>
      <c r="I208" s="205">
        <f t="shared" si="57"/>
        <v>12.037191737714332</v>
      </c>
      <c r="J208" s="206">
        <f t="shared" si="47"/>
        <v>1372.2398580994338</v>
      </c>
      <c r="K208" s="213">
        <f t="shared" si="60"/>
        <v>1168.6798390073327</v>
      </c>
      <c r="L208" s="212">
        <f t="shared" si="61"/>
        <v>203.56001909210113</v>
      </c>
      <c r="M208" s="209">
        <f t="shared" si="48"/>
        <v>6.8604213702367405</v>
      </c>
      <c r="N208" s="210">
        <f t="shared" si="49"/>
        <v>210.42044046233787</v>
      </c>
      <c r="O208" s="209">
        <v>0</v>
      </c>
      <c r="P208" s="209">
        <v>0</v>
      </c>
      <c r="Q208" s="209">
        <v>0</v>
      </c>
      <c r="R208" s="210">
        <f t="shared" si="50"/>
        <v>210.42044046233787</v>
      </c>
    </row>
    <row r="209" spans="1:18" x14ac:dyDescent="0.25">
      <c r="A209" s="125">
        <v>10</v>
      </c>
      <c r="B209" s="201">
        <f t="shared" si="45"/>
        <v>44105</v>
      </c>
      <c r="C209" s="225">
        <f t="shared" si="58"/>
        <v>44139</v>
      </c>
      <c r="D209" s="225">
        <f t="shared" si="58"/>
        <v>44159</v>
      </c>
      <c r="E209" s="54" t="s">
        <v>17</v>
      </c>
      <c r="F209" s="162">
        <v>9</v>
      </c>
      <c r="G209" s="204">
        <v>96</v>
      </c>
      <c r="H209" s="205">
        <f t="shared" si="46"/>
        <v>10.251577535152041</v>
      </c>
      <c r="I209" s="205">
        <f t="shared" si="57"/>
        <v>12.037191737714332</v>
      </c>
      <c r="J209" s="206">
        <f t="shared" si="47"/>
        <v>1155.570406820576</v>
      </c>
      <c r="K209" s="213">
        <f t="shared" si="60"/>
        <v>984.15144337459594</v>
      </c>
      <c r="L209" s="212">
        <f t="shared" si="61"/>
        <v>171.41896344598001</v>
      </c>
      <c r="M209" s="209">
        <f t="shared" si="48"/>
        <v>5.7771969433572545</v>
      </c>
      <c r="N209" s="210">
        <f t="shared" si="49"/>
        <v>177.19616038933728</v>
      </c>
      <c r="O209" s="209">
        <v>0</v>
      </c>
      <c r="P209" s="209">
        <v>0</v>
      </c>
      <c r="Q209" s="209">
        <v>0</v>
      </c>
      <c r="R209" s="210">
        <f t="shared" si="50"/>
        <v>177.19616038933728</v>
      </c>
    </row>
    <row r="210" spans="1:18" x14ac:dyDescent="0.25">
      <c r="A210" s="162">
        <v>11</v>
      </c>
      <c r="B210" s="201">
        <f t="shared" si="45"/>
        <v>44136</v>
      </c>
      <c r="C210" s="225">
        <f t="shared" si="58"/>
        <v>44168</v>
      </c>
      <c r="D210" s="225">
        <f t="shared" si="58"/>
        <v>44189</v>
      </c>
      <c r="E210" s="54" t="s">
        <v>17</v>
      </c>
      <c r="F210" s="162">
        <v>9</v>
      </c>
      <c r="G210" s="204">
        <v>100</v>
      </c>
      <c r="H210" s="205">
        <f t="shared" si="46"/>
        <v>10.251577535152041</v>
      </c>
      <c r="I210" s="205">
        <f t="shared" si="57"/>
        <v>12.037191737714332</v>
      </c>
      <c r="J210" s="206">
        <f t="shared" si="47"/>
        <v>1203.7191737714331</v>
      </c>
      <c r="K210" s="213">
        <f>+$G210*H210</f>
        <v>1025.1577535152041</v>
      </c>
      <c r="L210" s="212">
        <f t="shared" si="61"/>
        <v>178.56142025622898</v>
      </c>
      <c r="M210" s="209">
        <f t="shared" si="48"/>
        <v>6.0179134826638068</v>
      </c>
      <c r="N210" s="210">
        <f t="shared" si="49"/>
        <v>184.57933373889279</v>
      </c>
      <c r="O210" s="209">
        <v>0</v>
      </c>
      <c r="P210" s="209">
        <v>0</v>
      </c>
      <c r="Q210" s="209">
        <v>0</v>
      </c>
      <c r="R210" s="210">
        <f t="shared" si="50"/>
        <v>184.57933373889279</v>
      </c>
    </row>
    <row r="211" spans="1:18" s="229" customFormat="1" x14ac:dyDescent="0.25">
      <c r="A211" s="162">
        <v>12</v>
      </c>
      <c r="B211" s="227">
        <f t="shared" si="45"/>
        <v>44166</v>
      </c>
      <c r="C211" s="230">
        <f t="shared" si="58"/>
        <v>44202</v>
      </c>
      <c r="D211" s="230">
        <f t="shared" si="58"/>
        <v>44221</v>
      </c>
      <c r="E211" s="228" t="s">
        <v>17</v>
      </c>
      <c r="F211" s="173">
        <v>9</v>
      </c>
      <c r="G211" s="216">
        <v>105</v>
      </c>
      <c r="H211" s="217">
        <f t="shared" si="46"/>
        <v>10.251577535152041</v>
      </c>
      <c r="I211" s="217">
        <f t="shared" si="57"/>
        <v>12.037191737714332</v>
      </c>
      <c r="J211" s="218">
        <f t="shared" si="47"/>
        <v>1263.9051324600048</v>
      </c>
      <c r="K211" s="219">
        <f>+$G211*H211</f>
        <v>1076.4156411909644</v>
      </c>
      <c r="L211" s="220">
        <f t="shared" si="61"/>
        <v>187.4894912690404</v>
      </c>
      <c r="M211" s="218">
        <f t="shared" si="48"/>
        <v>6.3188091567969975</v>
      </c>
      <c r="N211" s="210">
        <f t="shared" si="49"/>
        <v>193.80830042583739</v>
      </c>
      <c r="O211" s="209">
        <v>0</v>
      </c>
      <c r="P211" s="209">
        <v>0</v>
      </c>
      <c r="Q211" s="209">
        <v>0</v>
      </c>
      <c r="R211" s="210">
        <f t="shared" si="50"/>
        <v>193.80830042583739</v>
      </c>
    </row>
    <row r="212" spans="1:18" x14ac:dyDescent="0.25">
      <c r="G212" s="235">
        <f>SUM(G20:G211)</f>
        <v>94887</v>
      </c>
      <c r="H212" s="51"/>
      <c r="I212" s="51"/>
      <c r="J212" s="51">
        <f>SUM(J20:J211)</f>
        <v>1142173.0124164985</v>
      </c>
      <c r="K212" s="51">
        <f>SUM(K20:K211)</f>
        <v>972741.43757797149</v>
      </c>
      <c r="L212" s="51">
        <f>SUM(L20:L211)</f>
        <v>169431.57483852809</v>
      </c>
      <c r="M212" s="51">
        <f>SUM(M20:M211)</f>
        <v>5710.2175662952031</v>
      </c>
      <c r="N212" s="51"/>
      <c r="O212" s="51"/>
      <c r="P212" s="51">
        <f>SUM(P20:P211)</f>
        <v>0</v>
      </c>
      <c r="Q212" s="51"/>
      <c r="R212" s="236">
        <f>SUM(R20:R211)</f>
        <v>175141.79240482324</v>
      </c>
    </row>
    <row r="213" spans="1:18" x14ac:dyDescent="0.25">
      <c r="P213" s="51"/>
      <c r="Q213" s="51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6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74C63E9D-C845-4CFF-BA4D-D8EA97E162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Summary</vt:lpstr>
      <vt:lpstr>Pivot</vt:lpstr>
      <vt:lpstr>Transactions</vt:lpstr>
      <vt:lpstr>Transactions!AS1_1999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s177040</cp:lastModifiedBy>
  <cp:lastPrinted>2018-05-15T12:29:53Z</cp:lastPrinted>
  <dcterms:created xsi:type="dcterms:W3CDTF">2009-09-04T18:19:13Z</dcterms:created>
  <dcterms:modified xsi:type="dcterms:W3CDTF">2021-05-24T21:31:35Z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36af487e-f446-4740-a62b-40554c497e05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uid="50c31824-0780-4910-87d1-eaaffd182d42" value="" /&gt;&lt;element uid="c64218ab-b8d1-40b6-a478-cb8be1e10ecc" value="" /&gt;&lt;/sisl&gt;</vt:lpwstr>
  </property>
</Properties>
</file>